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orega/Downloads/OPRC INDENNITA'/"/>
    </mc:Choice>
  </mc:AlternateContent>
  <xr:revisionPtr revIDLastSave="0" documentId="13_ncr:1_{9C816440-3142-9D4E-BDFB-2BAE8402B274}" xr6:coauthVersionLast="45" xr6:coauthVersionMax="45" xr10:uidLastSave="{00000000-0000-0000-0000-000000000000}"/>
  <bookViews>
    <workbookView xWindow="200" yWindow="680" windowWidth="25880" windowHeight="13920" xr2:uid="{EACF8DF6-1AD3-C04F-84B7-8C0DC01E51C5}"/>
  </bookViews>
  <sheets>
    <sheet name="Utilizzatore" sheetId="6" r:id="rId1"/>
    <sheet name="Prospetto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 l="1"/>
  <c r="H35" i="6"/>
  <c r="R33" i="5" l="1"/>
  <c r="E18" i="5" l="1"/>
  <c r="F14" i="5" s="1"/>
  <c r="F26" i="6" l="1"/>
  <c r="F27" i="6" l="1"/>
  <c r="F28" i="6" s="1"/>
  <c r="E28" i="6" l="1"/>
  <c r="E34" i="6" l="1"/>
  <c r="D50" i="5" l="1"/>
  <c r="H33" i="6" l="1"/>
  <c r="H34" i="6"/>
  <c r="H36" i="6"/>
  <c r="C21" i="5" l="1"/>
  <c r="L15" i="5"/>
  <c r="K14" i="5"/>
  <c r="L14" i="5" s="1"/>
  <c r="J15" i="5"/>
  <c r="J14" i="5" l="1"/>
  <c r="C39" i="5"/>
  <c r="D19" i="5"/>
  <c r="E15" i="5"/>
  <c r="C5" i="5" l="1"/>
  <c r="C20" i="5" l="1"/>
  <c r="F40" i="5"/>
  <c r="C36" i="5"/>
  <c r="C33" i="5"/>
  <c r="C29" i="5"/>
  <c r="E17" i="5"/>
  <c r="E16" i="5"/>
  <c r="E14" i="5"/>
  <c r="F16" i="5" l="1"/>
  <c r="F17" i="5"/>
  <c r="E40" i="5"/>
  <c r="C40" i="5"/>
  <c r="D40" i="5"/>
  <c r="F15" i="5" l="1"/>
  <c r="C9" i="5" l="1"/>
  <c r="C6" i="5" s="1"/>
  <c r="F8" i="6" l="1"/>
  <c r="E8" i="6" s="1"/>
  <c r="C31" i="5"/>
  <c r="C16" i="5" l="1"/>
  <c r="C17" i="5"/>
  <c r="C14" i="5"/>
  <c r="C15" i="5"/>
  <c r="F38" i="5" l="1"/>
  <c r="F35" i="5"/>
  <c r="F28" i="5"/>
  <c r="D38" i="5"/>
  <c r="D35" i="5"/>
  <c r="D28" i="5"/>
  <c r="C35" i="5"/>
  <c r="C38" i="5"/>
  <c r="C28" i="5"/>
  <c r="E35" i="5"/>
  <c r="E38" i="5"/>
  <c r="E28" i="5"/>
  <c r="F42" i="5" l="1"/>
  <c r="E17" i="6" s="1"/>
  <c r="D42" i="5"/>
  <c r="E15" i="6" s="1"/>
  <c r="E42" i="5"/>
  <c r="C42" i="5"/>
  <c r="G42" i="5" l="1"/>
  <c r="G45" i="5" s="1"/>
  <c r="C7" i="5" s="1"/>
  <c r="C8" i="5" s="1"/>
  <c r="C50" i="5" s="1"/>
  <c r="E20" i="6" s="1"/>
  <c r="E21" i="6" s="1"/>
  <c r="F21" i="6" s="1"/>
  <c r="D44" i="5"/>
  <c r="E14" i="6"/>
  <c r="C44" i="5"/>
  <c r="E44" i="5"/>
  <c r="E16" i="6"/>
  <c r="F44" i="5"/>
  <c r="G44" i="5" l="1"/>
  <c r="E18" i="6"/>
  <c r="F18" i="6" l="1"/>
  <c r="F17" i="6"/>
  <c r="F15" i="6"/>
  <c r="F16" i="6"/>
  <c r="F14" i="6"/>
</calcChain>
</file>

<file path=xl/sharedStrings.xml><?xml version="1.0" encoding="utf-8"?>
<sst xmlns="http://schemas.openxmlformats.org/spreadsheetml/2006/main" count="106" uniqueCount="88">
  <si>
    <t>Responsabilità di ruolo</t>
  </si>
  <si>
    <t>Numero iscritti</t>
  </si>
  <si>
    <t>Importo quota annuale ordinaria</t>
  </si>
  <si>
    <t>Presenza Dirigente con funzione di Direttore Amministrativo</t>
  </si>
  <si>
    <t>Presidente</t>
  </si>
  <si>
    <t>Vice Presidente</t>
  </si>
  <si>
    <t>Segretario</t>
  </si>
  <si>
    <t>Tesoriere</t>
  </si>
  <si>
    <t>Min</t>
  </si>
  <si>
    <t>Mid</t>
  </si>
  <si>
    <t>Max</t>
  </si>
  <si>
    <t>Celle input</t>
  </si>
  <si>
    <t>Celle output NON toccare</t>
  </si>
  <si>
    <t>Peso nell'indennità</t>
  </si>
  <si>
    <t>Parametri indennità</t>
  </si>
  <si>
    <t>Segretario/Tesoriere</t>
  </si>
  <si>
    <t>Moltiplicatore indennita</t>
  </si>
  <si>
    <t>V, Presidente</t>
  </si>
  <si>
    <r>
      <t xml:space="preserve">Posizione
</t>
    </r>
    <r>
      <rPr>
        <i/>
        <sz val="12"/>
        <color theme="1"/>
        <rFont val="Calibri"/>
        <family val="2"/>
        <scheme val="minor"/>
      </rPr>
      <t>(Inserisci X sulla cella corrispondente)</t>
    </r>
  </si>
  <si>
    <r>
      <t xml:space="preserve">Numero iscritti
</t>
    </r>
    <r>
      <rPr>
        <i/>
        <sz val="12"/>
        <color theme="1"/>
        <rFont val="Calibri"/>
        <family val="2"/>
        <scheme val="minor"/>
      </rPr>
      <t>(Inserisci nella cella il numero iscritti)</t>
    </r>
  </si>
  <si>
    <r>
      <t xml:space="preserve">Importo Quota annuale ordinaria
</t>
    </r>
    <r>
      <rPr>
        <i/>
        <sz val="12"/>
        <color theme="1"/>
        <rFont val="Calibri"/>
        <family val="2"/>
        <scheme val="minor"/>
      </rPr>
      <t>(Inserisci nella cella quota)</t>
    </r>
  </si>
  <si>
    <t>% indennità su bilancio</t>
  </si>
  <si>
    <t>Bilancio (Keur) target</t>
  </si>
  <si>
    <t>Bilancio</t>
  </si>
  <si>
    <t>Bilanci Ordini</t>
  </si>
  <si>
    <t>Totale indennità (%)</t>
  </si>
  <si>
    <t>Valore indennità</t>
  </si>
  <si>
    <t># Dipendenti</t>
  </si>
  <si>
    <r>
      <t xml:space="preserve">Presenza Dirigente
</t>
    </r>
    <r>
      <rPr>
        <i/>
        <sz val="12"/>
        <color theme="1"/>
        <rFont val="Calibri"/>
        <family val="2"/>
        <scheme val="minor"/>
      </rPr>
      <t>(Inserisci X in caso di presenza Dirigente)</t>
    </r>
  </si>
  <si>
    <t>Inserire valore in Euro</t>
  </si>
  <si>
    <t>Inserire numero dipendenti</t>
  </si>
  <si>
    <t>Inserire numero iscritti</t>
  </si>
  <si>
    <t>Inserire X in caso il Dirigente sia presente</t>
  </si>
  <si>
    <t>Step 1</t>
  </si>
  <si>
    <t>Step 2</t>
  </si>
  <si>
    <t>Step 3</t>
  </si>
  <si>
    <t>Costo medio dipendente</t>
  </si>
  <si>
    <t>% Bilancio per indennità (Max)</t>
  </si>
  <si>
    <t>% Bilancio per indennità (Real)</t>
  </si>
  <si>
    <t>Valore Capitolo Personale del Bilancio Consuntivo</t>
  </si>
  <si>
    <t>Numero iscritti al giorno dell'insediamento</t>
  </si>
  <si>
    <t>Numero iscritti al 01/01</t>
  </si>
  <si>
    <t>Importo quota annuale stabilita per l'anno</t>
  </si>
  <si>
    <t>Presenza Dirigente al 01/01</t>
  </si>
  <si>
    <t>Numero dipendenti (escluso il Dirigente) al 01/01</t>
  </si>
  <si>
    <t>Inserire numero iscritti - questo valore è fisso e si inserisce una sola volta</t>
  </si>
  <si>
    <t>Valore Entrate Bilancio Consuntivo</t>
  </si>
  <si>
    <t>Calcolo numero massimo dipendenti (35% del bilancio)</t>
  </si>
  <si>
    <t>Percentuali</t>
  </si>
  <si>
    <t>Indennità</t>
  </si>
  <si>
    <t>RUOLO</t>
  </si>
  <si>
    <t>STIMA ORE</t>
  </si>
  <si>
    <t>IMPORTO GETTONE</t>
  </si>
  <si>
    <t>Inserire la stima delle ore previste e l'importo orario definito per l'attività</t>
  </si>
  <si>
    <t>Inserire quota annuale in Euro</t>
  </si>
  <si>
    <t>% Bilancio per indennità Consiglieri (Real)</t>
  </si>
  <si>
    <t>Indennità Cariche e Consiglieri</t>
  </si>
  <si>
    <t xml:space="preserve"> </t>
  </si>
  <si>
    <t>Consiglieri</t>
  </si>
  <si>
    <t>Coordinatori Commissione</t>
  </si>
  <si>
    <t>Stima Ore</t>
  </si>
  <si>
    <t>Stima importo</t>
  </si>
  <si>
    <t>Bilancio (Real)</t>
  </si>
  <si>
    <t>% Bilancio (Max)</t>
  </si>
  <si>
    <t>% Bilancio (Real)</t>
  </si>
  <si>
    <t>% Bilancio Indennità Consiglieri (Real)</t>
  </si>
  <si>
    <t>Inserire numero di Consiglieri previsti dal Consiglio escluse le 4 Cariche</t>
  </si>
  <si>
    <t>Equivale al 33% del costo delle Indennità delle 4 Cariche (Real)</t>
  </si>
  <si>
    <t>Numero totale Consiglieri (escluse le 4 Cariche)</t>
  </si>
  <si>
    <t>Inserire la stima del totale delle ore previste per gli incontri all'anno: stima ore singolo incontro x stima numeri incontri annui - non inserire valori nella cella "Stima Importo"</t>
  </si>
  <si>
    <t>Delegato Rappresentante Ordine presso Tavoli, ecc.</t>
  </si>
  <si>
    <t>Stima ore per incontri all'anno della struttura da coordinare</t>
  </si>
  <si>
    <t>Inserire la stima del numero di ore annue per le attività extra incontri previste per il Coordinatore - non inserire valori nella cella "Stima Importo"</t>
  </si>
  <si>
    <t>Consigliere Ordine</t>
  </si>
  <si>
    <t xml:space="preserve">****Valori medi tratti da D.M. 19 luglio 2016, n. 165 (Pubblicato nella Gazz. Uff. 29 agosto 2016, n. 201, S.O.) Tabella c) ex art. 2, comma 1 </t>
  </si>
  <si>
    <t>IMPORTO ORARIO****</t>
  </si>
  <si>
    <t>Gettoni</t>
  </si>
  <si>
    <t>Stima ore attività connesse alla "responsabilità del ruolo" di Coordinatore</t>
  </si>
  <si>
    <t>Coordinatore**</t>
  </si>
  <si>
    <t>*** Il gettone è escluso qualora sia già prevista un'indennità per ricoprire quel ruolo di coordinamento. Nel caso in cui la partecipazione alle riuonini fosse inferiore ad un'ora e mezzo il gettone verrà automaticamente ridotto del 50%</t>
  </si>
  <si>
    <t>*Sono escluse le quattro Cariche (Presidente, Vice Presidente, Tesoriere, Segretario). Per maturare l'indennità completa è necessaria la partecipazione del Consigliere ad almeno l'80% delle sedute di Consiglio, eventuali assenze superiori al 20% devono essere giustificate. Per maturare l'indennità completa è necessaria la partecipazione del Consigliere ad almeno l'80% delle sedute di Consiglio. Qualora le assenze siano superiori al 20% il Consigliere percepirà l'importo dell'indennità relativo alla percentuale di presenza effettiva.</t>
  </si>
  <si>
    <t>Numero Consiglieri (escluse 4 Cariche)</t>
  </si>
  <si>
    <t>Totale indennità delle 4 Cariche (%)</t>
  </si>
  <si>
    <t>Stima Attività Ruolo Coordinatore (opzione 1)</t>
  </si>
  <si>
    <t>Coordinatore (Commissioni, comitati, consulte) (opzione 2)***</t>
  </si>
  <si>
    <t>Membro (Commissioni, comitati, consulte)</t>
  </si>
  <si>
    <t>Referente Gruppo di Lavoro</t>
  </si>
  <si>
    <t>**Nel caso in cui il ruolo sia ricoperto da una delle quattro Cariche (Presidente, Vice Presidente, Tesoriere, Segretario) l'importo si riduce del 50%.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</si>
</sst>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0.0%"/>
    <numFmt numFmtId="166" formatCode="#,##0.0_ ;\-#,##0.0\ "/>
    <numFmt numFmtId="167" formatCode="#,##0\ &quot;€&quot;"/>
    <numFmt numFmtId="168" formatCode="0.0"/>
    <numFmt numFmtId="169" formatCode="0.0000%"/>
    <numFmt numFmtId="170" formatCode="#,##0.00\ &quot;€&quot;"/>
    <numFmt numFmtId="171" formatCode="_-* #,##0\ [$€-410]_-;\-* #,##0\ [$€-410]_-;_-* &quot;-&quot;??\ [$€-410]_-;_-@_-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u/>
      <sz val="15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5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indexed="8"/>
      <name val="Helvetica Neue"/>
      <family val="2"/>
    </font>
    <font>
      <b/>
      <u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4"/>
      <color theme="1"/>
      <name val="Calibri (Corpo)"/>
    </font>
    <font>
      <sz val="14"/>
      <color theme="1"/>
      <name val="Calibri (Corpo)"/>
    </font>
    <font>
      <b/>
      <sz val="14"/>
      <color theme="0"/>
      <name val="Calibri (Corpo)"/>
    </font>
    <font>
      <b/>
      <sz val="14"/>
      <color rgb="FFFFFFFF"/>
      <name val="Calibri (Corpo)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</font>
    <font>
      <sz val="12"/>
      <color theme="1"/>
      <name val="Calibri"/>
      <family val="2"/>
    </font>
    <font>
      <i/>
      <sz val="14"/>
      <color theme="1"/>
      <name val="Calibri (Corpo)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4" borderId="0" xfId="0" applyFill="1"/>
    <xf numFmtId="0" fontId="0" fillId="5" borderId="0" xfId="0" applyFill="1"/>
    <xf numFmtId="0" fontId="2" fillId="6" borderId="23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0" fillId="4" borderId="1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10" fillId="0" borderId="28" xfId="0" applyFont="1" applyBorder="1"/>
    <xf numFmtId="0" fontId="11" fillId="4" borderId="40" xfId="0" applyFont="1" applyFill="1" applyBorder="1"/>
    <xf numFmtId="10" fontId="0" fillId="0" borderId="0" xfId="1" applyNumberFormat="1" applyFont="1"/>
    <xf numFmtId="166" fontId="0" fillId="0" borderId="0" xfId="1" applyNumberFormat="1" applyFont="1"/>
    <xf numFmtId="164" fontId="0" fillId="0" borderId="0" xfId="1" applyNumberFormat="1" applyFont="1"/>
    <xf numFmtId="164" fontId="0" fillId="4" borderId="8" xfId="0" applyNumberFormat="1" applyFill="1" applyBorder="1" applyAlignment="1">
      <alignment horizontal="right"/>
    </xf>
    <xf numFmtId="0" fontId="5" fillId="0" borderId="32" xfId="0" applyFont="1" applyBorder="1"/>
    <xf numFmtId="0" fontId="0" fillId="4" borderId="1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6" fillId="0" borderId="0" xfId="0" applyFont="1"/>
    <xf numFmtId="0" fontId="9" fillId="7" borderId="20" xfId="0" applyFont="1" applyFill="1" applyBorder="1" applyAlignment="1" applyProtection="1">
      <protection locked="0"/>
    </xf>
    <xf numFmtId="0" fontId="9" fillId="7" borderId="11" xfId="0" applyFont="1" applyFill="1" applyBorder="1" applyAlignment="1" applyProtection="1">
      <protection locked="0"/>
    </xf>
    <xf numFmtId="0" fontId="9" fillId="7" borderId="12" xfId="0" applyFont="1" applyFill="1" applyBorder="1" applyAlignment="1" applyProtection="1">
      <protection locked="0"/>
    </xf>
    <xf numFmtId="0" fontId="9" fillId="7" borderId="18" xfId="0" applyFont="1" applyFill="1" applyBorder="1"/>
    <xf numFmtId="0" fontId="9" fillId="7" borderId="10" xfId="0" applyFont="1" applyFill="1" applyBorder="1"/>
    <xf numFmtId="0" fontId="9" fillId="7" borderId="21" xfId="0" applyFont="1" applyFill="1" applyBorder="1"/>
    <xf numFmtId="164" fontId="9" fillId="7" borderId="18" xfId="0" applyNumberFormat="1" applyFont="1" applyFill="1" applyBorder="1" applyProtection="1">
      <protection locked="0"/>
    </xf>
    <xf numFmtId="164" fontId="9" fillId="7" borderId="10" xfId="0" applyNumberFormat="1" applyFont="1" applyFill="1" applyBorder="1" applyProtection="1">
      <protection locked="0"/>
    </xf>
    <xf numFmtId="164" fontId="9" fillId="7" borderId="21" xfId="0" applyNumberFormat="1" applyFont="1" applyFill="1" applyBorder="1" applyProtection="1"/>
    <xf numFmtId="0" fontId="0" fillId="2" borderId="0" xfId="0" applyFill="1"/>
    <xf numFmtId="164" fontId="0" fillId="0" borderId="0" xfId="0" applyNumberFormat="1"/>
    <xf numFmtId="169" fontId="9" fillId="0" borderId="0" xfId="0" applyNumberFormat="1" applyFont="1"/>
    <xf numFmtId="10" fontId="0" fillId="2" borderId="0" xfId="2" applyNumberFormat="1" applyFont="1" applyFill="1"/>
    <xf numFmtId="167" fontId="0" fillId="2" borderId="0" xfId="0" applyNumberFormat="1" applyFill="1"/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3" fillId="3" borderId="3" xfId="0" applyFont="1" applyFill="1" applyBorder="1" applyAlignment="1">
      <alignment horizontal="right"/>
    </xf>
    <xf numFmtId="168" fontId="0" fillId="4" borderId="5" xfId="0" applyNumberFormat="1" applyFill="1" applyBorder="1"/>
    <xf numFmtId="164" fontId="0" fillId="4" borderId="21" xfId="0" applyNumberForma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 applyAlignment="1">
      <alignment horizontal="right"/>
    </xf>
    <xf numFmtId="10" fontId="6" fillId="0" borderId="0" xfId="0" applyNumberFormat="1" applyFont="1" applyBorder="1"/>
    <xf numFmtId="165" fontId="6" fillId="0" borderId="0" xfId="0" applyNumberFormat="1" applyFont="1"/>
    <xf numFmtId="10" fontId="6" fillId="0" borderId="0" xfId="0" applyNumberFormat="1" applyFont="1"/>
    <xf numFmtId="49" fontId="12" fillId="9" borderId="40" xfId="0" applyNumberFormat="1" applyFont="1" applyFill="1" applyBorder="1" applyAlignment="1">
      <alignment horizontal="center" vertical="center" wrapText="1"/>
    </xf>
    <xf numFmtId="49" fontId="12" fillId="9" borderId="28" xfId="0" applyNumberFormat="1" applyFont="1" applyFill="1" applyBorder="1" applyAlignment="1">
      <alignment horizontal="center" vertical="center" wrapText="1"/>
    </xf>
    <xf numFmtId="171" fontId="0" fillId="0" borderId="13" xfId="1" applyNumberFormat="1" applyFont="1" applyBorder="1"/>
    <xf numFmtId="10" fontId="0" fillId="0" borderId="15" xfId="1" applyNumberFormat="1" applyFont="1" applyBorder="1"/>
    <xf numFmtId="171" fontId="0" fillId="0" borderId="6" xfId="1" applyNumberFormat="1" applyFont="1" applyBorder="1"/>
    <xf numFmtId="10" fontId="0" fillId="0" borderId="8" xfId="1" applyNumberFormat="1" applyFont="1" applyBorder="1"/>
    <xf numFmtId="171" fontId="0" fillId="0" borderId="9" xfId="1" applyNumberFormat="1" applyFont="1" applyBorder="1"/>
    <xf numFmtId="10" fontId="0" fillId="0" borderId="21" xfId="1" applyNumberFormat="1" applyFont="1" applyBorder="1"/>
    <xf numFmtId="0" fontId="4" fillId="8" borderId="44" xfId="0" applyFont="1" applyFill="1" applyBorder="1" applyAlignment="1">
      <alignment horizontal="center" vertical="center"/>
    </xf>
    <xf numFmtId="10" fontId="0" fillId="10" borderId="47" xfId="2" applyNumberFormat="1" applyFont="1" applyFill="1" applyBorder="1" applyAlignment="1">
      <alignment horizontal="center" vertical="center"/>
    </xf>
    <xf numFmtId="10" fontId="0" fillId="10" borderId="45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0" borderId="41" xfId="0" applyFont="1" applyBorder="1"/>
    <xf numFmtId="0" fontId="0" fillId="0" borderId="28" xfId="0" applyBorder="1"/>
    <xf numFmtId="0" fontId="16" fillId="2" borderId="0" xfId="0" applyFont="1" applyFill="1"/>
    <xf numFmtId="0" fontId="16" fillId="2" borderId="28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vertical="center" textRotation="90" wrapText="1"/>
    </xf>
    <xf numFmtId="167" fontId="16" fillId="2" borderId="5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9" fontId="16" fillId="2" borderId="0" xfId="2" applyFont="1" applyFill="1"/>
    <xf numFmtId="0" fontId="17" fillId="2" borderId="6" xfId="0" applyFont="1" applyFill="1" applyBorder="1" applyAlignment="1">
      <alignment vertical="center"/>
    </xf>
    <xf numFmtId="0" fontId="18" fillId="10" borderId="44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67" fontId="16" fillId="2" borderId="8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20" fillId="10" borderId="3" xfId="0" applyFont="1" applyFill="1" applyBorder="1" applyAlignment="1">
      <alignment vertical="center"/>
    </xf>
    <xf numFmtId="167" fontId="16" fillId="2" borderId="0" xfId="0" applyNumberFormat="1" applyFont="1" applyFill="1"/>
    <xf numFmtId="1" fontId="16" fillId="2" borderId="0" xfId="0" applyNumberFormat="1" applyFont="1" applyFill="1"/>
    <xf numFmtId="0" fontId="20" fillId="10" borderId="6" xfId="0" applyFont="1" applyFill="1" applyBorder="1" applyAlignment="1">
      <alignment vertical="center"/>
    </xf>
    <xf numFmtId="0" fontId="20" fillId="10" borderId="9" xfId="0" applyFont="1" applyFill="1" applyBorder="1" applyAlignment="1">
      <alignment vertical="center"/>
    </xf>
    <xf numFmtId="0" fontId="16" fillId="2" borderId="2" xfId="0" applyNumberFormat="1" applyFont="1" applyFill="1" applyBorder="1" applyAlignment="1">
      <alignment horizontal="center" vertical="center"/>
    </xf>
    <xf numFmtId="170" fontId="18" fillId="10" borderId="39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167" fontId="21" fillId="10" borderId="7" xfId="0" applyNumberFormat="1" applyFont="1" applyFill="1" applyBorder="1" applyAlignment="1">
      <alignment horizontal="center" vertical="center"/>
    </xf>
    <xf numFmtId="167" fontId="21" fillId="10" borderId="4" xfId="0" applyNumberFormat="1" applyFont="1" applyFill="1" applyBorder="1" applyAlignment="1">
      <alignment horizontal="center" vertical="center"/>
    </xf>
    <xf numFmtId="10" fontId="16" fillId="10" borderId="5" xfId="2" applyNumberFormat="1" applyFont="1" applyFill="1" applyBorder="1" applyAlignment="1">
      <alignment horizontal="center" vertical="center"/>
    </xf>
    <xf numFmtId="10" fontId="16" fillId="10" borderId="8" xfId="2" applyNumberFormat="1" applyFont="1" applyFill="1" applyBorder="1" applyAlignment="1">
      <alignment horizontal="center" vertical="center"/>
    </xf>
    <xf numFmtId="167" fontId="21" fillId="10" borderId="10" xfId="0" applyNumberFormat="1" applyFont="1" applyFill="1" applyBorder="1" applyAlignment="1">
      <alignment horizontal="center" vertical="center"/>
    </xf>
    <xf numFmtId="10" fontId="16" fillId="10" borderId="21" xfId="2" applyNumberFormat="1" applyFont="1" applyFill="1" applyBorder="1" applyAlignment="1">
      <alignment horizontal="center" vertical="center"/>
    </xf>
    <xf numFmtId="167" fontId="18" fillId="10" borderId="45" xfId="0" applyNumberFormat="1" applyFont="1" applyFill="1" applyBorder="1" applyAlignment="1">
      <alignment horizontal="center" vertical="center"/>
    </xf>
    <xf numFmtId="10" fontId="0" fillId="5" borderId="28" xfId="0" applyNumberFormat="1" applyFill="1" applyBorder="1"/>
    <xf numFmtId="0" fontId="23" fillId="2" borderId="0" xfId="0" applyFont="1" applyFill="1"/>
    <xf numFmtId="0" fontId="26" fillId="2" borderId="7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vertical="center"/>
    </xf>
    <xf numFmtId="0" fontId="25" fillId="11" borderId="9" xfId="0" applyFont="1" applyFill="1" applyBorder="1" applyAlignment="1">
      <alignment vertical="center"/>
    </xf>
    <xf numFmtId="0" fontId="26" fillId="12" borderId="10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170" fontId="27" fillId="10" borderId="8" xfId="0" applyNumberFormat="1" applyFont="1" applyFill="1" applyBorder="1" applyAlignment="1">
      <alignment horizontal="center" vertical="center"/>
    </xf>
    <xf numFmtId="170" fontId="27" fillId="10" borderId="21" xfId="0" applyNumberFormat="1" applyFont="1" applyFill="1" applyBorder="1" applyAlignment="1">
      <alignment horizontal="center" vertical="center"/>
    </xf>
    <xf numFmtId="167" fontId="21" fillId="10" borderId="5" xfId="0" applyNumberFormat="1" applyFont="1" applyFill="1" applyBorder="1" applyAlignment="1">
      <alignment horizontal="center" vertical="center"/>
    </xf>
    <xf numFmtId="10" fontId="29" fillId="2" borderId="22" xfId="2" applyNumberFormat="1" applyFont="1" applyFill="1" applyBorder="1" applyAlignment="1">
      <alignment vertical="center"/>
    </xf>
    <xf numFmtId="44" fontId="18" fillId="10" borderId="45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30" fillId="2" borderId="0" xfId="0" applyFont="1" applyFill="1" applyBorder="1" applyAlignment="1">
      <alignment horizontal="left" vertical="top" wrapText="1"/>
    </xf>
    <xf numFmtId="0" fontId="2" fillId="13" borderId="52" xfId="0" applyFont="1" applyFill="1" applyBorder="1" applyAlignment="1">
      <alignment horizontal="center"/>
    </xf>
    <xf numFmtId="0" fontId="22" fillId="10" borderId="48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170" fontId="22" fillId="10" borderId="21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10" fontId="0" fillId="0" borderId="0" xfId="2" applyNumberFormat="1" applyFont="1" applyAlignment="1">
      <alignment horizontal="center"/>
    </xf>
    <xf numFmtId="170" fontId="15" fillId="0" borderId="0" xfId="0" applyNumberFormat="1" applyFont="1" applyFill="1" applyBorder="1" applyAlignment="1">
      <alignment vertical="center"/>
    </xf>
    <xf numFmtId="10" fontId="33" fillId="0" borderId="28" xfId="0" applyNumberFormat="1" applyFont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vertical="top" wrapText="1"/>
    </xf>
    <xf numFmtId="170" fontId="32" fillId="10" borderId="15" xfId="0" applyNumberFormat="1" applyFont="1" applyFill="1" applyBorder="1" applyAlignment="1">
      <alignment horizontal="center" vertical="center"/>
    </xf>
    <xf numFmtId="170" fontId="32" fillId="10" borderId="8" xfId="0" applyNumberFormat="1" applyFont="1" applyFill="1" applyBorder="1" applyAlignment="1">
      <alignment horizontal="center" vertical="center"/>
    </xf>
    <xf numFmtId="168" fontId="27" fillId="10" borderId="1" xfId="0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vertical="center"/>
    </xf>
    <xf numFmtId="0" fontId="23" fillId="2" borderId="21" xfId="0" applyFont="1" applyFill="1" applyBorder="1" applyAlignment="1">
      <alignment horizontal="center" vertical="center"/>
    </xf>
    <xf numFmtId="0" fontId="29" fillId="2" borderId="33" xfId="2" applyNumberFormat="1" applyFont="1" applyFill="1" applyBorder="1" applyAlignment="1">
      <alignment vertical="center"/>
    </xf>
    <xf numFmtId="44" fontId="9" fillId="0" borderId="0" xfId="1" applyFont="1"/>
    <xf numFmtId="0" fontId="6" fillId="0" borderId="0" xfId="0" applyNumberFormat="1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10" fontId="0" fillId="0" borderId="57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10" fontId="0" fillId="0" borderId="59" xfId="1" applyNumberFormat="1" applyFont="1" applyBorder="1" applyAlignment="1">
      <alignment horizontal="center"/>
    </xf>
    <xf numFmtId="1" fontId="0" fillId="0" borderId="26" xfId="1" applyNumberFormat="1" applyFont="1" applyBorder="1" applyAlignment="1">
      <alignment horizontal="center"/>
    </xf>
    <xf numFmtId="10" fontId="0" fillId="0" borderId="58" xfId="1" applyNumberFormat="1" applyFont="1" applyBorder="1" applyAlignment="1">
      <alignment horizontal="center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55" xfId="0" applyFill="1" applyBorder="1" applyAlignment="1">
      <alignment horizontal="left" vertical="top" wrapText="1"/>
    </xf>
    <xf numFmtId="0" fontId="22" fillId="2" borderId="38" xfId="0" applyFont="1" applyFill="1" applyBorder="1" applyAlignment="1">
      <alignment horizontal="center" vertical="center" textRotation="90" wrapText="1"/>
    </xf>
    <xf numFmtId="0" fontId="22" fillId="2" borderId="46" xfId="0" applyFont="1" applyFill="1" applyBorder="1" applyAlignment="1">
      <alignment horizontal="center" vertical="center" textRotation="90" wrapText="1"/>
    </xf>
    <xf numFmtId="0" fontId="22" fillId="2" borderId="39" xfId="0" applyFont="1" applyFill="1" applyBorder="1" applyAlignment="1">
      <alignment horizontal="center" vertical="center" textRotation="90" wrapText="1"/>
    </xf>
    <xf numFmtId="0" fontId="0" fillId="2" borderId="33" xfId="0" applyFill="1" applyBorder="1" applyAlignment="1">
      <alignment horizontal="left" vertical="top"/>
    </xf>
    <xf numFmtId="0" fontId="0" fillId="2" borderId="22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10" fontId="18" fillId="10" borderId="41" xfId="0" applyNumberFormat="1" applyFont="1" applyFill="1" applyBorder="1" applyAlignment="1">
      <alignment horizontal="center" vertical="center"/>
    </xf>
    <xf numFmtId="10" fontId="18" fillId="10" borderId="40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textRotation="90" wrapText="1"/>
    </xf>
    <xf numFmtId="0" fontId="16" fillId="2" borderId="46" xfId="0" applyFont="1" applyFill="1" applyBorder="1" applyAlignment="1">
      <alignment horizontal="center" vertical="center" textRotation="90" wrapText="1"/>
    </xf>
    <xf numFmtId="0" fontId="16" fillId="2" borderId="39" xfId="0" applyFont="1" applyFill="1" applyBorder="1" applyAlignment="1">
      <alignment horizontal="center" vertical="center" textRotation="90" wrapText="1"/>
    </xf>
    <xf numFmtId="10" fontId="19" fillId="10" borderId="41" xfId="2" applyNumberFormat="1" applyFont="1" applyFill="1" applyBorder="1" applyAlignment="1">
      <alignment horizontal="center" vertical="center"/>
    </xf>
    <xf numFmtId="10" fontId="19" fillId="10" borderId="40" xfId="2" applyNumberFormat="1" applyFont="1" applyFill="1" applyBorder="1" applyAlignment="1">
      <alignment horizontal="center" vertical="center"/>
    </xf>
    <xf numFmtId="10" fontId="18" fillId="10" borderId="33" xfId="0" applyNumberFormat="1" applyFont="1" applyFill="1" applyBorder="1" applyAlignment="1">
      <alignment horizontal="center" vertical="center"/>
    </xf>
    <xf numFmtId="9" fontId="29" fillId="12" borderId="32" xfId="0" applyNumberFormat="1" applyFont="1" applyFill="1" applyBorder="1" applyAlignment="1">
      <alignment horizontal="center" vertical="center"/>
    </xf>
    <xf numFmtId="9" fontId="29" fillId="12" borderId="0" xfId="0" applyNumberFormat="1" applyFont="1" applyFill="1" applyAlignment="1">
      <alignment horizontal="center" vertical="center"/>
    </xf>
    <xf numFmtId="170" fontId="26" fillId="12" borderId="10" xfId="0" applyNumberFormat="1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 textRotation="90"/>
    </xf>
    <xf numFmtId="0" fontId="19" fillId="2" borderId="46" xfId="0" applyFont="1" applyFill="1" applyBorder="1" applyAlignment="1">
      <alignment horizontal="center" vertical="center" textRotation="90"/>
    </xf>
    <xf numFmtId="0" fontId="19" fillId="2" borderId="39" xfId="0" applyFont="1" applyFill="1" applyBorder="1" applyAlignment="1">
      <alignment horizontal="center" vertical="center" textRotation="90"/>
    </xf>
    <xf numFmtId="0" fontId="30" fillId="2" borderId="29" xfId="0" applyFont="1" applyFill="1" applyBorder="1" applyAlignment="1">
      <alignment horizontal="left" vertical="top" wrapText="1"/>
    </xf>
    <xf numFmtId="0" fontId="30" fillId="2" borderId="30" xfId="0" applyFont="1" applyFill="1" applyBorder="1" applyAlignment="1">
      <alignment horizontal="left" vertical="top" wrapText="1"/>
    </xf>
    <xf numFmtId="0" fontId="30" fillId="2" borderId="31" xfId="0" applyFont="1" applyFill="1" applyBorder="1" applyAlignment="1">
      <alignment horizontal="left" vertical="top" wrapText="1"/>
    </xf>
    <xf numFmtId="0" fontId="30" fillId="2" borderId="33" xfId="0" applyFont="1" applyFill="1" applyBorder="1" applyAlignment="1">
      <alignment horizontal="left" vertical="top" wrapText="1"/>
    </xf>
    <xf numFmtId="0" fontId="30" fillId="2" borderId="22" xfId="0" applyFont="1" applyFill="1" applyBorder="1" applyAlignment="1">
      <alignment horizontal="left" vertical="top" wrapText="1"/>
    </xf>
    <xf numFmtId="0" fontId="30" fillId="2" borderId="34" xfId="0" applyFont="1" applyFill="1" applyBorder="1" applyAlignment="1">
      <alignment horizontal="left" vertical="top" wrapText="1"/>
    </xf>
    <xf numFmtId="0" fontId="30" fillId="2" borderId="41" xfId="0" applyFont="1" applyFill="1" applyBorder="1" applyAlignment="1">
      <alignment horizontal="left" vertical="top" wrapText="1"/>
    </xf>
    <xf numFmtId="0" fontId="30" fillId="2" borderId="54" xfId="0" applyFont="1" applyFill="1" applyBorder="1" applyAlignment="1">
      <alignment horizontal="left" vertical="top" wrapText="1"/>
    </xf>
    <xf numFmtId="0" fontId="30" fillId="2" borderId="40" xfId="0" applyFont="1" applyFill="1" applyBorder="1" applyAlignment="1">
      <alignment horizontal="left" vertical="top" wrapText="1"/>
    </xf>
    <xf numFmtId="170" fontId="26" fillId="12" borderId="7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49" fontId="12" fillId="9" borderId="38" xfId="0" applyNumberFormat="1" applyFont="1" applyFill="1" applyBorder="1" applyAlignment="1">
      <alignment horizontal="center" vertical="center" wrapText="1"/>
    </xf>
    <xf numFmtId="49" fontId="12" fillId="9" borderId="39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165" fontId="6" fillId="5" borderId="29" xfId="0" applyNumberFormat="1" applyFont="1" applyFill="1" applyBorder="1" applyAlignment="1" applyProtection="1">
      <alignment horizontal="center" vertical="center"/>
      <protection locked="0"/>
    </xf>
    <xf numFmtId="165" fontId="6" fillId="5" borderId="30" xfId="0" applyNumberFormat="1" applyFont="1" applyFill="1" applyBorder="1" applyAlignment="1" applyProtection="1">
      <alignment horizontal="center" vertical="center"/>
      <protection locked="0"/>
    </xf>
    <xf numFmtId="165" fontId="6" fillId="5" borderId="31" xfId="0" applyNumberFormat="1" applyFont="1" applyFill="1" applyBorder="1" applyAlignment="1" applyProtection="1">
      <alignment horizontal="center" vertical="center"/>
      <protection locked="0"/>
    </xf>
    <xf numFmtId="165" fontId="6" fillId="5" borderId="33" xfId="0" applyNumberFormat="1" applyFont="1" applyFill="1" applyBorder="1" applyAlignment="1" applyProtection="1">
      <alignment horizontal="center" vertical="center"/>
      <protection locked="0"/>
    </xf>
    <xf numFmtId="165" fontId="6" fillId="5" borderId="22" xfId="0" applyNumberFormat="1" applyFont="1" applyFill="1" applyBorder="1" applyAlignment="1" applyProtection="1">
      <alignment horizontal="center" vertical="center"/>
      <protection locked="0"/>
    </xf>
    <xf numFmtId="165" fontId="6" fillId="5" borderId="34" xfId="0" applyNumberFormat="1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3" fontId="0" fillId="4" borderId="19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2" fillId="13" borderId="53" xfId="0" applyFont="1" applyFill="1" applyBorder="1" applyAlignment="1">
      <alignment horizontal="center"/>
    </xf>
    <xf numFmtId="0" fontId="2" fillId="13" borderId="51" xfId="0" applyFont="1" applyFill="1" applyBorder="1" applyAlignment="1">
      <alignment horizontal="center"/>
    </xf>
    <xf numFmtId="170" fontId="2" fillId="5" borderId="7" xfId="0" applyNumberFormat="1" applyFont="1" applyFill="1" applyBorder="1" applyAlignment="1">
      <alignment horizontal="center" vertical="center"/>
    </xf>
    <xf numFmtId="170" fontId="2" fillId="5" borderId="10" xfId="0" applyNumberFormat="1" applyFont="1" applyFill="1" applyBorder="1" applyAlignment="1">
      <alignment horizontal="center" vertical="center"/>
    </xf>
    <xf numFmtId="170" fontId="2" fillId="5" borderId="7" xfId="1" applyNumberFormat="1" applyFont="1" applyFill="1" applyBorder="1" applyAlignment="1">
      <alignment horizontal="center" vertical="center"/>
    </xf>
    <xf numFmtId="170" fontId="2" fillId="5" borderId="10" xfId="1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5" borderId="10" xfId="0" applyNumberFormat="1" applyFont="1" applyFill="1" applyBorder="1" applyAlignment="1">
      <alignment horizontal="center" vertical="center"/>
    </xf>
    <xf numFmtId="170" fontId="33" fillId="14" borderId="38" xfId="0" applyNumberFormat="1" applyFont="1" applyFill="1" applyBorder="1" applyAlignment="1">
      <alignment horizontal="center" vertical="center"/>
    </xf>
    <xf numFmtId="170" fontId="33" fillId="14" borderId="39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2" fillId="0" borderId="30" xfId="2" applyNumberFormat="1" applyFont="1" applyBorder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64" fontId="15" fillId="5" borderId="5" xfId="0" applyNumberFormat="1" applyFont="1" applyFill="1" applyBorder="1" applyAlignment="1">
      <alignment horizontal="center" vertical="center"/>
    </xf>
    <xf numFmtId="164" fontId="15" fillId="5" borderId="21" xfId="0" applyNumberFormat="1" applyFont="1" applyFill="1" applyBorder="1" applyAlignment="1">
      <alignment horizontal="center" vertical="center"/>
    </xf>
    <xf numFmtId="0" fontId="24" fillId="10" borderId="56" xfId="0" applyFont="1" applyFill="1" applyBorder="1" applyAlignment="1">
      <alignment vertical="center"/>
    </xf>
    <xf numFmtId="0" fontId="26" fillId="2" borderId="11" xfId="0" applyNumberFormat="1" applyFont="1" applyFill="1" applyBorder="1" applyAlignment="1">
      <alignment horizontal="center" vertical="center"/>
    </xf>
    <xf numFmtId="170" fontId="27" fillId="10" borderId="12" xfId="0" applyNumberFormat="1" applyFont="1" applyFill="1" applyBorder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Entrate</a:t>
            </a:r>
            <a:r>
              <a:rPr lang="it-IT" baseline="0"/>
              <a:t> Bilancio (ipotesi)/Totale Indennità (%)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9.6855283757521799E-3"/>
                  <c:y val="-0.42188205263449957"/>
                </c:manualLayout>
              </c:layout>
              <c:numFmt formatCode="@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Prospetto!$Q$6:$Q$12</c:f>
              <c:numCache>
                <c:formatCode>_-* #,##0\ [$€-410]_-;\-* #,##0\ [$€-410]_-;_-* "-"??\ [$€-410]_-;_-@_-</c:formatCode>
                <c:ptCount val="7"/>
                <c:pt idx="0">
                  <c:v>50000</c:v>
                </c:pt>
                <c:pt idx="1">
                  <c:v>100000</c:v>
                </c:pt>
                <c:pt idx="2">
                  <c:v>500000</c:v>
                </c:pt>
                <c:pt idx="3">
                  <c:v>1000000</c:v>
                </c:pt>
                <c:pt idx="4">
                  <c:v>2000000</c:v>
                </c:pt>
                <c:pt idx="5">
                  <c:v>3000000</c:v>
                </c:pt>
                <c:pt idx="6">
                  <c:v>6000000</c:v>
                </c:pt>
              </c:numCache>
            </c:numRef>
          </c:xVal>
          <c:yVal>
            <c:numRef>
              <c:f>Prospetto!$R$6:$R$12</c:f>
              <c:numCache>
                <c:formatCode>0.00%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0.15</c:v>
                </c:pt>
                <c:pt idx="3">
                  <c:v>0.12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2C-42D9-B3A8-ECF7811C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130112"/>
        <c:axId val="201286096"/>
      </c:scatterChart>
      <c:valAx>
        <c:axId val="18813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10]_-;\-* #,##0\ [$€-410]_-;_-* &quot;-&quot;??\ [$€-410]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286096"/>
        <c:crosses val="autoZero"/>
        <c:crossBetween val="midCat"/>
      </c:valAx>
      <c:valAx>
        <c:axId val="20128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8130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0" i="0" baseline="0">
                <a:effectLst/>
              </a:rPr>
              <a:t>Numero Consiglieri / % Indennità di Carica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9312791739355932"/>
                  <c:y val="-8.373652088669639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[1]Prospetto!$Q$26:$Q$29</c:f>
              <c:numCache>
                <c:formatCode>General</c:formatCode>
                <c:ptCount val="4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</c:numCache>
            </c:numRef>
          </c:xVal>
          <c:yVal>
            <c:numRef>
              <c:f>[1]Prospetto!$R$26:$R$29</c:f>
              <c:numCache>
                <c:formatCode>General</c:formatCode>
                <c:ptCount val="4"/>
                <c:pt idx="0">
                  <c:v>0.33329999999999999</c:v>
                </c:pt>
                <c:pt idx="1">
                  <c:v>0.28660000000000002</c:v>
                </c:pt>
                <c:pt idx="2">
                  <c:v>0.26329999999999998</c:v>
                </c:pt>
                <c:pt idx="3">
                  <c:v>0.24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A5-D442-A31A-1638B0BA5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9975071"/>
        <c:axId val="2017739167"/>
      </c:scatterChart>
      <c:valAx>
        <c:axId val="191997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7739167"/>
        <c:crosses val="autoZero"/>
        <c:crossBetween val="midCat"/>
      </c:valAx>
      <c:valAx>
        <c:axId val="201773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9975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248920</xdr:colOff>
      <xdr:row>3</xdr:row>
      <xdr:rowOff>88900</xdr:rowOff>
    </xdr:from>
    <xdr:to>
      <xdr:col>6</xdr:col>
      <xdr:colOff>538480</xdr:colOff>
      <xdr:row>3</xdr:row>
      <xdr:rowOff>349250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DAAEB0FE-9D8F-40AD-861D-BF0DEEB48088}"/>
            </a:ext>
          </a:extLst>
        </xdr:cNvPr>
        <xdr:cNvSpPr/>
      </xdr:nvSpPr>
      <xdr:spPr>
        <a:xfrm>
          <a:off x="6070600" y="281940"/>
          <a:ext cx="949960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247650</xdr:colOff>
      <xdr:row>9</xdr:row>
      <xdr:rowOff>82550</xdr:rowOff>
    </xdr:from>
    <xdr:to>
      <xdr:col>6</xdr:col>
      <xdr:colOff>450850</xdr:colOff>
      <xdr:row>9</xdr:row>
      <xdr:rowOff>342900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C33C58CC-FA45-4960-9D5D-006DCD836C50}"/>
            </a:ext>
          </a:extLst>
        </xdr:cNvPr>
        <xdr:cNvSpPr/>
      </xdr:nvSpPr>
      <xdr:spPr>
        <a:xfrm>
          <a:off x="5524500" y="2444750"/>
          <a:ext cx="863600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260350</xdr:colOff>
      <xdr:row>10</xdr:row>
      <xdr:rowOff>76200</xdr:rowOff>
    </xdr:from>
    <xdr:to>
      <xdr:col>6</xdr:col>
      <xdr:colOff>463550</xdr:colOff>
      <xdr:row>10</xdr:row>
      <xdr:rowOff>336550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FD578E45-7AC1-47D3-930E-835C8BFA008B}"/>
            </a:ext>
          </a:extLst>
        </xdr:cNvPr>
        <xdr:cNvSpPr/>
      </xdr:nvSpPr>
      <xdr:spPr>
        <a:xfrm>
          <a:off x="5537200" y="2832100"/>
          <a:ext cx="863600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266700</xdr:colOff>
      <xdr:row>11</xdr:row>
      <xdr:rowOff>63500</xdr:rowOff>
    </xdr:from>
    <xdr:to>
      <xdr:col>6</xdr:col>
      <xdr:colOff>469900</xdr:colOff>
      <xdr:row>11</xdr:row>
      <xdr:rowOff>323850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DCA1B61D-521C-4D73-9C75-49E67D591CDA}"/>
            </a:ext>
          </a:extLst>
        </xdr:cNvPr>
        <xdr:cNvSpPr/>
      </xdr:nvSpPr>
      <xdr:spPr>
        <a:xfrm>
          <a:off x="5543550" y="3213100"/>
          <a:ext cx="863600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254000</xdr:colOff>
      <xdr:row>5</xdr:row>
      <xdr:rowOff>63500</xdr:rowOff>
    </xdr:from>
    <xdr:to>
      <xdr:col>6</xdr:col>
      <xdr:colOff>457200</xdr:colOff>
      <xdr:row>5</xdr:row>
      <xdr:rowOff>323850</xdr:rowOff>
    </xdr:to>
    <xdr:sp macro="" textlink="">
      <xdr:nvSpPr>
        <xdr:cNvPr id="8" name="Arrow: Left 7">
          <a:extLst>
            <a:ext uri="{FF2B5EF4-FFF2-40B4-BE49-F238E27FC236}">
              <a16:creationId xmlns:a16="http://schemas.microsoft.com/office/drawing/2014/main" id="{BB840E73-FC3E-4A69-8ACD-D576D40E192F}"/>
            </a:ext>
          </a:extLst>
        </xdr:cNvPr>
        <xdr:cNvSpPr/>
      </xdr:nvSpPr>
      <xdr:spPr>
        <a:xfrm>
          <a:off x="5125357" y="2794000"/>
          <a:ext cx="865414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248920</xdr:colOff>
      <xdr:row>4</xdr:row>
      <xdr:rowOff>88900</xdr:rowOff>
    </xdr:from>
    <xdr:to>
      <xdr:col>6</xdr:col>
      <xdr:colOff>538480</xdr:colOff>
      <xdr:row>4</xdr:row>
      <xdr:rowOff>349250</xdr:rowOff>
    </xdr:to>
    <xdr:sp macro="" textlink="">
      <xdr:nvSpPr>
        <xdr:cNvPr id="9" name="Arrow: Left 1">
          <a:extLst>
            <a:ext uri="{FF2B5EF4-FFF2-40B4-BE49-F238E27FC236}">
              <a16:creationId xmlns:a16="http://schemas.microsoft.com/office/drawing/2014/main" id="{8DBC6429-DDE7-784C-9DCF-ACAAA0171525}"/>
            </a:ext>
          </a:extLst>
        </xdr:cNvPr>
        <xdr:cNvSpPr/>
      </xdr:nvSpPr>
      <xdr:spPr>
        <a:xfrm>
          <a:off x="6070600" y="281940"/>
          <a:ext cx="949960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264160</xdr:colOff>
      <xdr:row>1</xdr:row>
      <xdr:rowOff>71120</xdr:rowOff>
    </xdr:from>
    <xdr:to>
      <xdr:col>6</xdr:col>
      <xdr:colOff>553720</xdr:colOff>
      <xdr:row>1</xdr:row>
      <xdr:rowOff>331470</xdr:rowOff>
    </xdr:to>
    <xdr:sp macro="" textlink="">
      <xdr:nvSpPr>
        <xdr:cNvPr id="14" name="Arrow: Left 1">
          <a:extLst>
            <a:ext uri="{FF2B5EF4-FFF2-40B4-BE49-F238E27FC236}">
              <a16:creationId xmlns:a16="http://schemas.microsoft.com/office/drawing/2014/main" id="{DA2933E8-74C8-9B41-A7A5-2738C290C742}"/>
            </a:ext>
          </a:extLst>
        </xdr:cNvPr>
        <xdr:cNvSpPr/>
      </xdr:nvSpPr>
      <xdr:spPr>
        <a:xfrm>
          <a:off x="6085840" y="1056640"/>
          <a:ext cx="949960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266700</xdr:colOff>
      <xdr:row>32</xdr:row>
      <xdr:rowOff>63500</xdr:rowOff>
    </xdr:from>
    <xdr:to>
      <xdr:col>9</xdr:col>
      <xdr:colOff>469900</xdr:colOff>
      <xdr:row>32</xdr:row>
      <xdr:rowOff>323850</xdr:rowOff>
    </xdr:to>
    <xdr:sp macro="" textlink="">
      <xdr:nvSpPr>
        <xdr:cNvPr id="11" name="Arrow: Left 5">
          <a:extLst>
            <a:ext uri="{FF2B5EF4-FFF2-40B4-BE49-F238E27FC236}">
              <a16:creationId xmlns:a16="http://schemas.microsoft.com/office/drawing/2014/main" id="{A559ACDF-2FCA-6D42-B90A-6111B7E15BD4}"/>
            </a:ext>
          </a:extLst>
        </xdr:cNvPr>
        <xdr:cNvSpPr/>
      </xdr:nvSpPr>
      <xdr:spPr>
        <a:xfrm>
          <a:off x="10799106" y="7301545"/>
          <a:ext cx="862072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266700</xdr:colOff>
      <xdr:row>33</xdr:row>
      <xdr:rowOff>63500</xdr:rowOff>
    </xdr:from>
    <xdr:to>
      <xdr:col>9</xdr:col>
      <xdr:colOff>469900</xdr:colOff>
      <xdr:row>33</xdr:row>
      <xdr:rowOff>323850</xdr:rowOff>
    </xdr:to>
    <xdr:sp macro="" textlink="">
      <xdr:nvSpPr>
        <xdr:cNvPr id="12" name="Arrow: Left 5">
          <a:extLst>
            <a:ext uri="{FF2B5EF4-FFF2-40B4-BE49-F238E27FC236}">
              <a16:creationId xmlns:a16="http://schemas.microsoft.com/office/drawing/2014/main" id="{A1CF895E-7796-154D-BBB3-EEAD3D42C38B}"/>
            </a:ext>
          </a:extLst>
        </xdr:cNvPr>
        <xdr:cNvSpPr/>
      </xdr:nvSpPr>
      <xdr:spPr>
        <a:xfrm>
          <a:off x="10799106" y="7301545"/>
          <a:ext cx="862072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266700</xdr:colOff>
      <xdr:row>34</xdr:row>
      <xdr:rowOff>63500</xdr:rowOff>
    </xdr:from>
    <xdr:to>
      <xdr:col>9</xdr:col>
      <xdr:colOff>469900</xdr:colOff>
      <xdr:row>34</xdr:row>
      <xdr:rowOff>323850</xdr:rowOff>
    </xdr:to>
    <xdr:sp macro="" textlink="">
      <xdr:nvSpPr>
        <xdr:cNvPr id="13" name="Arrow: Left 5">
          <a:extLst>
            <a:ext uri="{FF2B5EF4-FFF2-40B4-BE49-F238E27FC236}">
              <a16:creationId xmlns:a16="http://schemas.microsoft.com/office/drawing/2014/main" id="{15A58A13-9B16-F148-A322-321CE60D0A7F}"/>
            </a:ext>
          </a:extLst>
        </xdr:cNvPr>
        <xdr:cNvSpPr/>
      </xdr:nvSpPr>
      <xdr:spPr>
        <a:xfrm>
          <a:off x="10799106" y="7301545"/>
          <a:ext cx="862072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247650</xdr:colOff>
      <xdr:row>6</xdr:row>
      <xdr:rowOff>82550</xdr:rowOff>
    </xdr:from>
    <xdr:to>
      <xdr:col>6</xdr:col>
      <xdr:colOff>450850</xdr:colOff>
      <xdr:row>6</xdr:row>
      <xdr:rowOff>342900</xdr:rowOff>
    </xdr:to>
    <xdr:sp macro="" textlink="">
      <xdr:nvSpPr>
        <xdr:cNvPr id="15" name="Arrow: Left 3">
          <a:extLst>
            <a:ext uri="{FF2B5EF4-FFF2-40B4-BE49-F238E27FC236}">
              <a16:creationId xmlns:a16="http://schemas.microsoft.com/office/drawing/2014/main" id="{30CD2DAB-C112-B54C-A9B4-0C5C1704E9C5}"/>
            </a:ext>
          </a:extLst>
        </xdr:cNvPr>
        <xdr:cNvSpPr/>
      </xdr:nvSpPr>
      <xdr:spPr>
        <a:xfrm>
          <a:off x="8106372" y="3014054"/>
          <a:ext cx="1053049" cy="260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540928</xdr:colOff>
      <xdr:row>25</xdr:row>
      <xdr:rowOff>376297</xdr:rowOff>
    </xdr:from>
    <xdr:to>
      <xdr:col>8</xdr:col>
      <xdr:colOff>1175868</xdr:colOff>
      <xdr:row>26</xdr:row>
      <xdr:rowOff>376296</xdr:rowOff>
    </xdr:to>
    <xdr:sp macro="" textlink="">
      <xdr:nvSpPr>
        <xdr:cNvPr id="16" name="Arrow: Left 6">
          <a:extLst>
            <a:ext uri="{FF2B5EF4-FFF2-40B4-BE49-F238E27FC236}">
              <a16:creationId xmlns:a16="http://schemas.microsoft.com/office/drawing/2014/main" id="{D1DD3A78-2FA2-0244-BE13-32F599BA5AA1}"/>
            </a:ext>
          </a:extLst>
        </xdr:cNvPr>
        <xdr:cNvSpPr/>
      </xdr:nvSpPr>
      <xdr:spPr>
        <a:xfrm>
          <a:off x="10643635" y="12331485"/>
          <a:ext cx="1775744" cy="39150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540924</xdr:colOff>
      <xdr:row>24</xdr:row>
      <xdr:rowOff>341020</xdr:rowOff>
    </xdr:from>
    <xdr:to>
      <xdr:col>8</xdr:col>
      <xdr:colOff>1175864</xdr:colOff>
      <xdr:row>25</xdr:row>
      <xdr:rowOff>341018</xdr:rowOff>
    </xdr:to>
    <xdr:sp macro="" textlink="">
      <xdr:nvSpPr>
        <xdr:cNvPr id="17" name="Arrow: Left 6">
          <a:extLst>
            <a:ext uri="{FF2B5EF4-FFF2-40B4-BE49-F238E27FC236}">
              <a16:creationId xmlns:a16="http://schemas.microsoft.com/office/drawing/2014/main" id="{02732724-42E1-DF45-A4FF-A193F5A025AE}"/>
            </a:ext>
          </a:extLst>
        </xdr:cNvPr>
        <xdr:cNvSpPr/>
      </xdr:nvSpPr>
      <xdr:spPr>
        <a:xfrm>
          <a:off x="10643631" y="11914253"/>
          <a:ext cx="1775744" cy="38195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323851</xdr:colOff>
      <xdr:row>1</xdr:row>
      <xdr:rowOff>38101</xdr:rowOff>
    </xdr:from>
    <xdr:to>
      <xdr:col>28</xdr:col>
      <xdr:colOff>9525</xdr:colOff>
      <xdr:row>17</xdr:row>
      <xdr:rowOff>47625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7118518-4CBC-4D50-80BE-4E03C4A76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26</xdr:row>
      <xdr:rowOff>0</xdr:rowOff>
    </xdr:from>
    <xdr:to>
      <xdr:col>28</xdr:col>
      <xdr:colOff>274983</xdr:colOff>
      <xdr:row>38</xdr:row>
      <xdr:rowOff>304800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54B37C3-FF9A-294A-9B19-3CF46B58A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demac/Google%20Drive/OPL/Compensation/Linee%20Guida_senza%20quota/_Calcolo%20indennita&#768;%20Ordini_linee%20guida_def2_senza%20quo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zzatore"/>
      <sheetName val="Prospetto"/>
    </sheetNames>
    <sheetDataSet>
      <sheetData sheetId="0"/>
      <sheetData sheetId="1">
        <row r="26">
          <cell r="Q26">
            <v>11</v>
          </cell>
          <cell r="R26">
            <v>0.33329999999999999</v>
          </cell>
        </row>
        <row r="27">
          <cell r="Q27">
            <v>7</v>
          </cell>
          <cell r="R27">
            <v>0.28660000000000002</v>
          </cell>
        </row>
        <row r="28">
          <cell r="Q28">
            <v>5</v>
          </cell>
          <cell r="R28">
            <v>0.26329999999999998</v>
          </cell>
        </row>
        <row r="29">
          <cell r="Q29">
            <v>3</v>
          </cell>
          <cell r="R29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9ED0-567A-4C9A-B88F-8CE1AF602847}">
  <dimension ref="B1:AB38"/>
  <sheetViews>
    <sheetView tabSelected="1" topLeftCell="A24" zoomScaleNormal="100" workbookViewId="0">
      <selection activeCell="E26" sqref="E26"/>
    </sheetView>
  </sheetViews>
  <sheetFormatPr baseColWidth="10" defaultColWidth="8.6640625" defaultRowHeight="31" customHeight="1" x14ac:dyDescent="0.2"/>
  <cols>
    <col min="1" max="1" width="2.1640625" style="53" customWidth="1"/>
    <col min="2" max="2" width="12" style="53" customWidth="1"/>
    <col min="3" max="3" width="3" style="53" customWidth="1"/>
    <col min="4" max="4" width="73.6640625" style="53" customWidth="1"/>
    <col min="5" max="5" width="18.33203125" style="53" customWidth="1"/>
    <col min="6" max="6" width="15.33203125" style="53" customWidth="1"/>
    <col min="7" max="7" width="9.6640625" style="53" customWidth="1"/>
    <col min="8" max="8" width="21.83203125" style="53" customWidth="1"/>
    <col min="9" max="16384" width="8.6640625" style="53"/>
  </cols>
  <sheetData>
    <row r="1" spans="2:19" ht="15" customHeight="1" thickBot="1" x14ac:dyDescent="0.3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19" ht="31" customHeight="1" thickBot="1" x14ac:dyDescent="0.3">
      <c r="B2" s="84" t="s">
        <v>33</v>
      </c>
      <c r="C2" s="83"/>
      <c r="D2" s="97" t="s">
        <v>40</v>
      </c>
      <c r="E2" s="104">
        <v>7840</v>
      </c>
      <c r="F2" s="83"/>
      <c r="G2" s="83"/>
      <c r="H2" s="86" t="s">
        <v>45</v>
      </c>
      <c r="I2" s="83"/>
      <c r="J2" s="83"/>
      <c r="K2" s="83"/>
      <c r="L2" s="83"/>
      <c r="M2" s="83"/>
      <c r="N2" s="83"/>
    </row>
    <row r="3" spans="2:19" ht="31" customHeight="1" thickBot="1" x14ac:dyDescent="0.3">
      <c r="B3" s="87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2:19" ht="31" customHeight="1" x14ac:dyDescent="0.25">
      <c r="B4" s="175" t="s">
        <v>34</v>
      </c>
      <c r="C4" s="83"/>
      <c r="D4" s="85" t="s">
        <v>46</v>
      </c>
      <c r="E4" s="88">
        <v>1196755</v>
      </c>
      <c r="F4" s="83"/>
      <c r="G4" s="83"/>
      <c r="H4" s="86" t="s">
        <v>29</v>
      </c>
      <c r="I4" s="83"/>
      <c r="J4" s="83"/>
      <c r="K4" s="83"/>
      <c r="L4" s="83"/>
      <c r="M4" s="83"/>
      <c r="N4" s="83"/>
    </row>
    <row r="5" spans="2:19" ht="31" customHeight="1" x14ac:dyDescent="0.25">
      <c r="B5" s="176"/>
      <c r="C5" s="83"/>
      <c r="D5" s="91" t="s">
        <v>39</v>
      </c>
      <c r="E5" s="96">
        <v>90741</v>
      </c>
      <c r="F5" s="83"/>
      <c r="G5" s="83"/>
      <c r="H5" s="86" t="s">
        <v>29</v>
      </c>
      <c r="I5" s="90"/>
      <c r="J5" s="83"/>
      <c r="K5" s="83"/>
      <c r="L5" s="83"/>
      <c r="M5" s="83"/>
      <c r="N5" s="83"/>
    </row>
    <row r="6" spans="2:19" ht="31" customHeight="1" x14ac:dyDescent="0.25">
      <c r="B6" s="176"/>
      <c r="C6" s="83"/>
      <c r="D6" s="91" t="s">
        <v>44</v>
      </c>
      <c r="E6" s="150">
        <v>3</v>
      </c>
      <c r="F6" s="83"/>
      <c r="G6" s="83"/>
      <c r="H6" s="86" t="s">
        <v>30</v>
      </c>
      <c r="I6" s="83"/>
      <c r="J6" s="83"/>
      <c r="K6" s="83"/>
      <c r="L6" s="83"/>
      <c r="M6" s="83"/>
      <c r="N6" s="83"/>
    </row>
    <row r="7" spans="2:19" ht="31" customHeight="1" thickBot="1" x14ac:dyDescent="0.3">
      <c r="B7" s="176"/>
      <c r="C7" s="83"/>
      <c r="D7" s="151" t="s">
        <v>68</v>
      </c>
      <c r="E7" s="152">
        <v>11</v>
      </c>
      <c r="F7" s="83"/>
      <c r="G7" s="83"/>
      <c r="H7" s="86" t="s">
        <v>66</v>
      </c>
      <c r="I7" s="83"/>
      <c r="J7" s="83"/>
      <c r="K7" s="83"/>
      <c r="L7" s="83"/>
      <c r="M7" s="83"/>
      <c r="N7" s="83"/>
    </row>
    <row r="8" spans="2:19" ht="31" customHeight="1" thickBot="1" x14ac:dyDescent="0.3">
      <c r="B8" s="177"/>
      <c r="C8" s="83"/>
      <c r="D8" s="92" t="s">
        <v>37</v>
      </c>
      <c r="E8" s="105">
        <f>E4*F8</f>
        <v>121912.28426951816</v>
      </c>
      <c r="F8" s="173">
        <f>Prospetto!C6</f>
        <v>0.10186904108987901</v>
      </c>
      <c r="G8" s="174"/>
      <c r="I8" s="83"/>
      <c r="J8" s="83"/>
      <c r="K8" s="83"/>
      <c r="L8" s="83"/>
      <c r="M8" s="83"/>
      <c r="N8" s="83"/>
    </row>
    <row r="9" spans="2:19" ht="31" customHeight="1" thickBot="1" x14ac:dyDescent="0.3">
      <c r="B9" s="87"/>
      <c r="C9" s="83"/>
      <c r="D9" s="93"/>
      <c r="E9" s="94"/>
      <c r="F9" s="83"/>
      <c r="G9" s="83"/>
      <c r="H9" s="86"/>
      <c r="I9" s="83"/>
      <c r="J9" s="83"/>
      <c r="K9" s="83"/>
      <c r="L9" s="83"/>
      <c r="M9" s="83"/>
      <c r="N9" s="83"/>
    </row>
    <row r="10" spans="2:19" ht="31" customHeight="1" x14ac:dyDescent="0.25">
      <c r="B10" s="175" t="s">
        <v>35</v>
      </c>
      <c r="C10" s="83"/>
      <c r="D10" s="85" t="s">
        <v>41</v>
      </c>
      <c r="E10" s="95">
        <v>8200</v>
      </c>
      <c r="F10" s="83"/>
      <c r="G10" s="83"/>
      <c r="H10" s="86" t="s">
        <v>31</v>
      </c>
      <c r="I10" s="83"/>
      <c r="J10" s="83"/>
      <c r="K10" s="83"/>
      <c r="L10" s="83"/>
      <c r="M10" s="83"/>
      <c r="N10" s="83"/>
    </row>
    <row r="11" spans="2:19" ht="31" customHeight="1" x14ac:dyDescent="0.25">
      <c r="B11" s="176"/>
      <c r="C11" s="83"/>
      <c r="D11" s="91" t="s">
        <v>42</v>
      </c>
      <c r="E11" s="96">
        <v>155</v>
      </c>
      <c r="F11" s="83"/>
      <c r="G11" s="83"/>
      <c r="H11" s="86" t="s">
        <v>54</v>
      </c>
      <c r="I11" s="83"/>
      <c r="J11" s="83"/>
      <c r="K11" s="83"/>
      <c r="L11" s="83"/>
      <c r="M11" s="83"/>
      <c r="N11" s="83"/>
    </row>
    <row r="12" spans="2:19" ht="31" customHeight="1" thickBot="1" x14ac:dyDescent="0.3">
      <c r="B12" s="177"/>
      <c r="C12" s="83"/>
      <c r="D12" s="89" t="s">
        <v>43</v>
      </c>
      <c r="E12" s="106">
        <v>0</v>
      </c>
      <c r="F12" s="83"/>
      <c r="G12" s="83"/>
      <c r="H12" s="86" t="s">
        <v>32</v>
      </c>
      <c r="I12" s="83"/>
      <c r="J12" s="83"/>
      <c r="K12" s="83"/>
      <c r="L12" s="83"/>
      <c r="M12" s="83"/>
      <c r="N12" s="83"/>
    </row>
    <row r="13" spans="2:19" ht="31" customHeight="1" thickBot="1" x14ac:dyDescent="0.3">
      <c r="B13" s="83"/>
      <c r="C13" s="83"/>
      <c r="D13" s="98"/>
      <c r="E13" s="98"/>
      <c r="F13" s="83"/>
      <c r="G13" s="83"/>
      <c r="H13" s="83"/>
      <c r="I13" s="83"/>
      <c r="J13" s="83"/>
      <c r="K13" s="83"/>
      <c r="L13" s="83"/>
      <c r="M13" s="83"/>
      <c r="N13" s="83"/>
    </row>
    <row r="14" spans="2:19" ht="31" customHeight="1" x14ac:dyDescent="0.25">
      <c r="B14" s="186" t="s">
        <v>56</v>
      </c>
      <c r="C14" s="83"/>
      <c r="D14" s="99" t="s">
        <v>4</v>
      </c>
      <c r="E14" s="108">
        <f>Prospetto!C42</f>
        <v>35211.72466227322</v>
      </c>
      <c r="F14" s="109">
        <f>E14/E18</f>
        <v>0.32512315270935965</v>
      </c>
      <c r="G14" s="100"/>
      <c r="H14" s="101"/>
      <c r="I14" s="90"/>
      <c r="J14" s="83"/>
      <c r="K14" s="83"/>
      <c r="L14" s="83"/>
      <c r="M14" s="83"/>
      <c r="N14" s="83"/>
      <c r="Q14" s="57"/>
      <c r="R14" s="80"/>
      <c r="S14" s="56"/>
    </row>
    <row r="15" spans="2:19" ht="31" customHeight="1" x14ac:dyDescent="0.25">
      <c r="B15" s="187"/>
      <c r="C15" s="83"/>
      <c r="D15" s="102" t="s">
        <v>5</v>
      </c>
      <c r="E15" s="107">
        <f>Prospetto!D42</f>
        <v>23474.483108182139</v>
      </c>
      <c r="F15" s="110">
        <f>E15/E18</f>
        <v>0.21674876847290636</v>
      </c>
      <c r="G15" s="100"/>
      <c r="H15" s="101"/>
      <c r="I15" s="83"/>
      <c r="J15" s="83"/>
      <c r="K15" s="83"/>
      <c r="L15" s="83"/>
      <c r="M15" s="83"/>
      <c r="N15" s="83"/>
      <c r="Q15" s="57"/>
      <c r="R15" s="80"/>
      <c r="S15" s="56"/>
    </row>
    <row r="16" spans="2:19" ht="31" customHeight="1" x14ac:dyDescent="0.25">
      <c r="B16" s="187"/>
      <c r="C16" s="83"/>
      <c r="D16" s="102" t="s">
        <v>7</v>
      </c>
      <c r="E16" s="107">
        <f>Prospetto!E42</f>
        <v>32010.658783884741</v>
      </c>
      <c r="F16" s="110">
        <f>E16/E18</f>
        <v>0.29556650246305416</v>
      </c>
      <c r="G16" s="100"/>
      <c r="H16" s="101"/>
      <c r="I16" s="83"/>
      <c r="J16" s="83"/>
      <c r="K16" s="83"/>
      <c r="L16" s="83"/>
      <c r="M16" s="83"/>
      <c r="N16" s="83"/>
      <c r="Q16" s="57"/>
      <c r="R16" s="80"/>
      <c r="S16" s="56"/>
    </row>
    <row r="17" spans="2:28" ht="31" customHeight="1" thickBot="1" x14ac:dyDescent="0.3">
      <c r="B17" s="187"/>
      <c r="C17" s="83"/>
      <c r="D17" s="103" t="s">
        <v>6</v>
      </c>
      <c r="E17" s="111">
        <f>Prospetto!F42</f>
        <v>17605.86233113661</v>
      </c>
      <c r="F17" s="112">
        <f>E17/E18</f>
        <v>0.16256157635467983</v>
      </c>
      <c r="G17" s="100"/>
      <c r="H17" s="101"/>
      <c r="I17" s="83"/>
      <c r="J17" s="83"/>
      <c r="K17" s="83"/>
      <c r="L17" s="83"/>
      <c r="M17" s="83"/>
      <c r="N17" s="83"/>
      <c r="Q17" s="57"/>
      <c r="R17" s="80"/>
      <c r="S17" s="56"/>
    </row>
    <row r="18" spans="2:28" ht="31" customHeight="1" thickBot="1" x14ac:dyDescent="0.3">
      <c r="B18" s="187"/>
      <c r="C18" s="83"/>
      <c r="D18" s="92" t="s">
        <v>38</v>
      </c>
      <c r="E18" s="113">
        <f>SUM(E14:E17)</f>
        <v>108302.72888547671</v>
      </c>
      <c r="F18" s="180">
        <f>E18/E4</f>
        <v>9.0496993023197483E-2</v>
      </c>
      <c r="G18" s="174"/>
      <c r="H18" s="83"/>
      <c r="I18" s="83"/>
      <c r="J18" s="83"/>
      <c r="K18" s="83"/>
      <c r="L18" s="83"/>
      <c r="M18" s="83"/>
      <c r="N18" s="83"/>
    </row>
    <row r="19" spans="2:28" ht="31" customHeight="1" thickBot="1" x14ac:dyDescent="0.3">
      <c r="B19" s="187"/>
      <c r="C19" s="83"/>
      <c r="I19" s="83"/>
      <c r="J19" s="83"/>
      <c r="K19" s="83"/>
      <c r="L19" s="83"/>
      <c r="M19" s="83"/>
      <c r="N19" s="83"/>
    </row>
    <row r="20" spans="2:28" ht="31" customHeight="1" thickBot="1" x14ac:dyDescent="0.3">
      <c r="B20" s="187"/>
      <c r="C20" s="83"/>
      <c r="D20" s="99" t="s">
        <v>73</v>
      </c>
      <c r="E20" s="126">
        <f>Prospetto!C50</f>
        <v>3281.9008753174758</v>
      </c>
      <c r="F20" s="153"/>
      <c r="G20" s="127"/>
      <c r="I20" s="83"/>
      <c r="J20" s="83"/>
      <c r="K20" s="83"/>
      <c r="L20" s="83"/>
      <c r="M20" s="83"/>
      <c r="N20" s="83"/>
    </row>
    <row r="21" spans="2:28" ht="31" customHeight="1" thickBot="1" x14ac:dyDescent="0.3">
      <c r="B21" s="187"/>
      <c r="C21" s="83"/>
      <c r="D21" s="92" t="s">
        <v>55</v>
      </c>
      <c r="E21" s="128">
        <f>E20*E7</f>
        <v>36100.909628492234</v>
      </c>
      <c r="F21" s="178">
        <f>E21/E4</f>
        <v>3.0165664341065827E-2</v>
      </c>
      <c r="G21" s="179"/>
      <c r="H21" s="145" t="s">
        <v>67</v>
      </c>
      <c r="I21" s="83"/>
      <c r="J21" s="83"/>
      <c r="K21" s="83"/>
      <c r="L21" s="83"/>
      <c r="M21" s="83"/>
      <c r="N21" s="83"/>
    </row>
    <row r="22" spans="2:28" ht="31" customHeight="1" x14ac:dyDescent="0.25">
      <c r="B22" s="187"/>
      <c r="C22" s="83"/>
      <c r="D22" s="189" t="s">
        <v>80</v>
      </c>
      <c r="E22" s="190"/>
      <c r="F22" s="190"/>
      <c r="G22" s="191"/>
      <c r="H22" s="129"/>
      <c r="I22" s="83"/>
      <c r="J22" s="83"/>
      <c r="K22" s="83"/>
      <c r="L22" s="83"/>
      <c r="M22" s="83"/>
      <c r="N22" s="83"/>
    </row>
    <row r="23" spans="2:28" ht="38" customHeight="1" thickBot="1" x14ac:dyDescent="0.3">
      <c r="B23" s="187"/>
      <c r="C23" s="83"/>
      <c r="D23" s="192"/>
      <c r="E23" s="193"/>
      <c r="F23" s="193"/>
      <c r="G23" s="194"/>
      <c r="H23" s="129"/>
      <c r="I23" s="83"/>
      <c r="J23" s="83"/>
      <c r="K23" s="83"/>
      <c r="L23" s="83"/>
      <c r="M23" s="83"/>
      <c r="N23" s="83"/>
    </row>
    <row r="24" spans="2:28" ht="30" customHeight="1" thickBot="1" x14ac:dyDescent="0.3">
      <c r="B24" s="187"/>
      <c r="C24" s="83"/>
      <c r="D24" s="130"/>
      <c r="E24" s="130"/>
      <c r="F24" s="130"/>
      <c r="G24" s="130"/>
      <c r="H24" s="129"/>
      <c r="I24" s="83"/>
      <c r="J24" s="83"/>
      <c r="K24" s="83"/>
      <c r="L24" s="83"/>
      <c r="M24" s="83"/>
      <c r="N24" s="83"/>
    </row>
    <row r="25" spans="2:28" ht="30" customHeight="1" thickBot="1" x14ac:dyDescent="0.3">
      <c r="B25" s="187"/>
      <c r="C25" s="83"/>
      <c r="D25" s="149" t="s">
        <v>83</v>
      </c>
      <c r="E25" s="132" t="s">
        <v>60</v>
      </c>
      <c r="F25" s="133" t="s">
        <v>61</v>
      </c>
      <c r="I25" s="83"/>
      <c r="M25" s="83"/>
    </row>
    <row r="26" spans="2:28" ht="30" customHeight="1" x14ac:dyDescent="0.25">
      <c r="B26" s="187"/>
      <c r="C26" s="83"/>
      <c r="D26" s="134" t="s">
        <v>71</v>
      </c>
      <c r="E26" s="135">
        <v>18</v>
      </c>
      <c r="F26" s="147">
        <f>E26*F33</f>
        <v>1350</v>
      </c>
      <c r="H26" s="83"/>
      <c r="I26" s="83"/>
      <c r="J26" s="199" t="s">
        <v>69</v>
      </c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</row>
    <row r="27" spans="2:28" ht="30" customHeight="1" x14ac:dyDescent="0.25">
      <c r="B27" s="187"/>
      <c r="C27" s="83"/>
      <c r="D27" s="136" t="s">
        <v>77</v>
      </c>
      <c r="E27" s="137">
        <f>84</f>
        <v>84</v>
      </c>
      <c r="F27" s="148">
        <f>E27*F33</f>
        <v>6300</v>
      </c>
      <c r="I27" s="83"/>
      <c r="J27" s="199" t="s">
        <v>72</v>
      </c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</row>
    <row r="28" spans="2:28" ht="30" customHeight="1" thickBot="1" x14ac:dyDescent="0.3">
      <c r="B28" s="187"/>
      <c r="C28" s="83"/>
      <c r="D28" s="103" t="s">
        <v>78</v>
      </c>
      <c r="E28" s="138">
        <f>E26+E27</f>
        <v>102</v>
      </c>
      <c r="F28" s="139">
        <f>SUM(F26:F27)</f>
        <v>7650</v>
      </c>
      <c r="G28" s="181"/>
      <c r="H28" s="182"/>
      <c r="I28" s="83"/>
      <c r="M28" s="83"/>
    </row>
    <row r="29" spans="2:28" ht="30" customHeight="1" thickBot="1" x14ac:dyDescent="0.3">
      <c r="B29" s="187"/>
      <c r="C29" s="83"/>
      <c r="D29" s="195" t="s">
        <v>87</v>
      </c>
      <c r="E29" s="196"/>
      <c r="F29" s="197"/>
      <c r="G29" s="146"/>
      <c r="H29" s="100"/>
    </row>
    <row r="30" spans="2:28" ht="31" customHeight="1" thickBot="1" x14ac:dyDescent="0.3">
      <c r="B30" s="188"/>
      <c r="C30" s="83"/>
      <c r="D30" s="146"/>
      <c r="E30" s="100"/>
    </row>
    <row r="31" spans="2:28" ht="31" customHeight="1" thickBot="1" x14ac:dyDescent="0.3">
      <c r="B31" s="83"/>
      <c r="C31" s="83"/>
      <c r="D31" s="53" t="s">
        <v>57</v>
      </c>
      <c r="I31" s="83"/>
      <c r="J31" s="83"/>
      <c r="K31" s="83"/>
      <c r="L31" s="83"/>
      <c r="M31" s="83"/>
      <c r="N31" s="83"/>
    </row>
    <row r="32" spans="2:28" ht="31" customHeight="1" thickBot="1" x14ac:dyDescent="0.3">
      <c r="B32" s="167" t="s">
        <v>76</v>
      </c>
      <c r="C32" s="83"/>
      <c r="D32" s="117" t="s">
        <v>50</v>
      </c>
      <c r="E32" s="118" t="s">
        <v>51</v>
      </c>
      <c r="F32" s="184" t="s">
        <v>75</v>
      </c>
      <c r="G32" s="185"/>
      <c r="H32" s="119" t="s">
        <v>52</v>
      </c>
      <c r="I32" s="83"/>
      <c r="J32" s="83"/>
      <c r="K32" s="83"/>
      <c r="L32" s="83"/>
      <c r="M32" s="83"/>
      <c r="N32" s="83"/>
    </row>
    <row r="33" spans="2:19" ht="31" customHeight="1" x14ac:dyDescent="0.25">
      <c r="B33" s="168"/>
      <c r="C33" s="115"/>
      <c r="D33" s="120" t="s">
        <v>84</v>
      </c>
      <c r="E33" s="116">
        <v>3</v>
      </c>
      <c r="F33" s="198">
        <v>75</v>
      </c>
      <c r="G33" s="198"/>
      <c r="H33" s="124">
        <f t="shared" ref="H33:H36" si="0">E33*F33</f>
        <v>225</v>
      </c>
      <c r="I33" s="86"/>
      <c r="J33" s="86"/>
      <c r="K33" s="86" t="s">
        <v>53</v>
      </c>
      <c r="L33" s="86"/>
      <c r="M33" s="86"/>
      <c r="N33" s="123"/>
      <c r="O33" s="123"/>
      <c r="P33" s="115"/>
      <c r="Q33" s="115"/>
      <c r="R33" s="115"/>
      <c r="S33" s="115"/>
    </row>
    <row r="34" spans="2:19" ht="31" customHeight="1" x14ac:dyDescent="0.25">
      <c r="B34" s="168"/>
      <c r="C34" s="115"/>
      <c r="D34" s="120" t="s">
        <v>85</v>
      </c>
      <c r="E34" s="116">
        <f>E33</f>
        <v>3</v>
      </c>
      <c r="F34" s="198">
        <v>60</v>
      </c>
      <c r="G34" s="198"/>
      <c r="H34" s="124">
        <f t="shared" si="0"/>
        <v>180</v>
      </c>
      <c r="I34" s="86"/>
      <c r="J34" s="86"/>
      <c r="K34" s="86" t="s">
        <v>53</v>
      </c>
      <c r="L34" s="86"/>
      <c r="M34" s="86"/>
      <c r="N34" s="123"/>
      <c r="O34" s="123"/>
      <c r="P34" s="115"/>
      <c r="Q34" s="115"/>
      <c r="R34" s="115"/>
      <c r="S34" s="115"/>
    </row>
    <row r="35" spans="2:19" ht="31" customHeight="1" x14ac:dyDescent="0.25">
      <c r="B35" s="168"/>
      <c r="C35" s="115"/>
      <c r="D35" s="252" t="s">
        <v>86</v>
      </c>
      <c r="E35" s="253">
        <v>3</v>
      </c>
      <c r="F35" s="198">
        <v>75</v>
      </c>
      <c r="G35" s="198"/>
      <c r="H35" s="254">
        <f>E35*F35</f>
        <v>225</v>
      </c>
      <c r="I35" s="86"/>
      <c r="J35" s="86"/>
      <c r="K35" s="86" t="s">
        <v>53</v>
      </c>
      <c r="L35" s="86"/>
      <c r="M35" s="86"/>
      <c r="N35" s="123"/>
      <c r="O35" s="123"/>
      <c r="P35" s="115"/>
      <c r="Q35" s="115"/>
      <c r="R35" s="115"/>
      <c r="S35" s="115"/>
    </row>
    <row r="36" spans="2:19" ht="31" customHeight="1" thickBot="1" x14ac:dyDescent="0.25">
      <c r="B36" s="168"/>
      <c r="D36" s="121" t="s">
        <v>70</v>
      </c>
      <c r="E36" s="122">
        <v>3</v>
      </c>
      <c r="F36" s="183">
        <v>60</v>
      </c>
      <c r="G36" s="183"/>
      <c r="H36" s="125">
        <f t="shared" si="0"/>
        <v>180</v>
      </c>
    </row>
    <row r="37" spans="2:19" ht="22" customHeight="1" thickBot="1" x14ac:dyDescent="0.25">
      <c r="B37" s="169"/>
      <c r="D37" s="164" t="s">
        <v>79</v>
      </c>
      <c r="E37" s="165"/>
      <c r="F37" s="165"/>
      <c r="G37" s="165"/>
      <c r="H37" s="166"/>
    </row>
    <row r="38" spans="2:19" ht="31" customHeight="1" thickBot="1" x14ac:dyDescent="0.25">
      <c r="D38" s="170" t="s">
        <v>74</v>
      </c>
      <c r="E38" s="171"/>
      <c r="F38" s="171"/>
      <c r="G38" s="171"/>
      <c r="H38" s="172"/>
    </row>
  </sheetData>
  <mergeCells count="19">
    <mergeCell ref="F35:G35"/>
    <mergeCell ref="J26:AB26"/>
    <mergeCell ref="J27:AA27"/>
    <mergeCell ref="G28:H28"/>
    <mergeCell ref="D29:F29"/>
    <mergeCell ref="D37:H37"/>
    <mergeCell ref="B32:B37"/>
    <mergeCell ref="D38:H38"/>
    <mergeCell ref="F8:G8"/>
    <mergeCell ref="B4:B8"/>
    <mergeCell ref="B10:B12"/>
    <mergeCell ref="F21:G21"/>
    <mergeCell ref="F18:G18"/>
    <mergeCell ref="F36:G36"/>
    <mergeCell ref="F32:G32"/>
    <mergeCell ref="B14:B30"/>
    <mergeCell ref="D22:G23"/>
    <mergeCell ref="F33:G33"/>
    <mergeCell ref="F34:G34"/>
  </mergeCells>
  <pageMargins left="0.7" right="0.7" top="0.75" bottom="0.75" header="0.3" footer="0.3"/>
  <pageSetup paperSize="9" orientation="portrait" horizontalDpi="0" verticalDpi="0" r:id="rId1"/>
  <headerFooter>
    <oddFooter>&amp;L&amp;1#&amp;"Calibri"&amp;10&amp;K000000Essity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AE79-1C54-4218-B956-5433092F1171}">
  <dimension ref="A2:R54"/>
  <sheetViews>
    <sheetView zoomScale="92" zoomScaleNormal="60" workbookViewId="0">
      <selection activeCell="R23" sqref="R23"/>
    </sheetView>
  </sheetViews>
  <sheetFormatPr baseColWidth="10" defaultColWidth="8.83203125" defaultRowHeight="16" x14ac:dyDescent="0.2"/>
  <cols>
    <col min="1" max="1" width="1.6640625" customWidth="1"/>
    <col min="2" max="2" width="47.5" customWidth="1"/>
    <col min="3" max="6" width="16.33203125" customWidth="1"/>
    <col min="7" max="7" width="24.5" customWidth="1"/>
    <col min="8" max="8" width="51.5" bestFit="1" customWidth="1"/>
    <col min="9" max="9" width="19.1640625" customWidth="1"/>
    <col min="10" max="10" width="18.83203125" style="41" customWidth="1"/>
    <col min="11" max="11" width="16.6640625" style="41" customWidth="1"/>
    <col min="12" max="12" width="15.33203125" style="41" customWidth="1"/>
    <col min="17" max="17" width="16.6640625" customWidth="1"/>
    <col min="18" max="18" width="18.1640625" customWidth="1"/>
  </cols>
  <sheetData>
    <row r="2" spans="2:18" x14ac:dyDescent="0.2">
      <c r="B2" s="3"/>
      <c r="C2" t="s">
        <v>11</v>
      </c>
    </row>
    <row r="3" spans="2:18" x14ac:dyDescent="0.2">
      <c r="B3" s="4"/>
      <c r="C3" t="s">
        <v>12</v>
      </c>
    </row>
    <row r="4" spans="2:18" ht="17" thickBot="1" x14ac:dyDescent="0.25"/>
    <row r="5" spans="2:18" ht="30" thickBot="1" x14ac:dyDescent="0.4">
      <c r="B5" s="31" t="s">
        <v>23</v>
      </c>
      <c r="C5" s="32">
        <f>Utilizzatore!E4</f>
        <v>1196755</v>
      </c>
      <c r="Q5" s="70" t="s">
        <v>24</v>
      </c>
      <c r="R5" s="69" t="s">
        <v>25</v>
      </c>
    </row>
    <row r="6" spans="2:18" ht="21" thickBot="1" x14ac:dyDescent="0.3">
      <c r="B6" s="37" t="s">
        <v>63</v>
      </c>
      <c r="C6" s="114">
        <f>(55.304*C5^-0.451)*IF(C9&lt;=C20,(C9*0.5%+1),(C20*0.5%+1))</f>
        <v>0.10186904108987901</v>
      </c>
      <c r="Q6" s="71">
        <v>50000</v>
      </c>
      <c r="R6" s="72">
        <v>0.4</v>
      </c>
    </row>
    <row r="7" spans="2:18" ht="21" thickBot="1" x14ac:dyDescent="0.3">
      <c r="B7" s="37" t="s">
        <v>64</v>
      </c>
      <c r="C7" s="114">
        <f>G45</f>
        <v>9.0496993023197483E-2</v>
      </c>
      <c r="Q7" s="73">
        <v>100000</v>
      </c>
      <c r="R7" s="74">
        <v>0.3</v>
      </c>
    </row>
    <row r="8" spans="2:18" ht="21" thickBot="1" x14ac:dyDescent="0.3">
      <c r="B8" s="37" t="s">
        <v>65</v>
      </c>
      <c r="C8" s="114">
        <f>C7/3</f>
        <v>3.0165664341065827E-2</v>
      </c>
      <c r="Q8" s="73">
        <v>500000</v>
      </c>
      <c r="R8" s="74">
        <v>0.15</v>
      </c>
    </row>
    <row r="9" spans="2:18" ht="17" thickBot="1" x14ac:dyDescent="0.25">
      <c r="B9" s="81" t="s">
        <v>27</v>
      </c>
      <c r="C9" s="82">
        <f>Utilizzatore!E6</f>
        <v>3</v>
      </c>
      <c r="Q9" s="73">
        <v>1000000</v>
      </c>
      <c r="R9" s="74">
        <v>0.12</v>
      </c>
    </row>
    <row r="10" spans="2:18" x14ac:dyDescent="0.2">
      <c r="Q10" s="73">
        <v>2000000</v>
      </c>
      <c r="R10" s="74">
        <v>0.09</v>
      </c>
    </row>
    <row r="11" spans="2:18" ht="17" thickBot="1" x14ac:dyDescent="0.25">
      <c r="Q11" s="73">
        <v>3000000</v>
      </c>
      <c r="R11" s="74">
        <v>7.0000000000000007E-2</v>
      </c>
    </row>
    <row r="12" spans="2:18" ht="17" thickBot="1" x14ac:dyDescent="0.25">
      <c r="B12" s="202" t="s">
        <v>26</v>
      </c>
      <c r="C12" s="203"/>
      <c r="D12" s="63"/>
      <c r="E12" s="63"/>
      <c r="F12" s="64"/>
      <c r="H12" s="5" t="s">
        <v>14</v>
      </c>
      <c r="I12" s="17" t="s">
        <v>13</v>
      </c>
      <c r="J12" s="21" t="s">
        <v>8</v>
      </c>
      <c r="K12" s="22" t="s">
        <v>9</v>
      </c>
      <c r="L12" s="23" t="s">
        <v>10</v>
      </c>
      <c r="Q12" s="75">
        <v>6000000</v>
      </c>
      <c r="R12" s="76">
        <v>0.04</v>
      </c>
    </row>
    <row r="13" spans="2:18" x14ac:dyDescent="0.2">
      <c r="B13" s="1"/>
      <c r="C13" s="2" t="s">
        <v>10</v>
      </c>
      <c r="D13" s="63"/>
      <c r="E13" s="63"/>
      <c r="F13" s="43"/>
      <c r="G13" s="42"/>
      <c r="H13" s="6" t="s">
        <v>0</v>
      </c>
      <c r="I13" s="18">
        <v>0.4</v>
      </c>
      <c r="J13" s="24" t="s">
        <v>15</v>
      </c>
      <c r="K13" s="20" t="s">
        <v>5</v>
      </c>
      <c r="L13" s="25" t="s">
        <v>4</v>
      </c>
    </row>
    <row r="14" spans="2:18" x14ac:dyDescent="0.2">
      <c r="B14" s="29" t="s">
        <v>4</v>
      </c>
      <c r="C14" s="36">
        <f>(C29*C31)/(E18)*D14*1.1</f>
        <v>39636.50621570542</v>
      </c>
      <c r="D14" s="65">
        <v>0.375</v>
      </c>
      <c r="E14" s="66">
        <f>D14*1.1</f>
        <v>0.41250000000000003</v>
      </c>
      <c r="F14" s="67">
        <f>E14/$E$18*100%</f>
        <v>0.3251231527093596</v>
      </c>
      <c r="G14" s="42"/>
      <c r="H14" s="6" t="s">
        <v>1</v>
      </c>
      <c r="I14" s="18">
        <v>0.3</v>
      </c>
      <c r="J14" s="58">
        <f>K14*0.787878788</f>
        <v>6176.9696979199998</v>
      </c>
      <c r="K14" s="20">
        <f>Utilizzatore!E2</f>
        <v>7840</v>
      </c>
      <c r="L14" s="59">
        <f>K14*1.212121212</f>
        <v>9503.0303020800002</v>
      </c>
    </row>
    <row r="15" spans="2:18" ht="17" thickBot="1" x14ac:dyDescent="0.25">
      <c r="B15" s="29" t="s">
        <v>5</v>
      </c>
      <c r="C15" s="36">
        <f>(C29*C31)/(E18)*D15*1.1</f>
        <v>26424.337477136942</v>
      </c>
      <c r="D15" s="65">
        <v>0.25</v>
      </c>
      <c r="E15" s="68">
        <f>D15*1.1</f>
        <v>0.27500000000000002</v>
      </c>
      <c r="F15" s="67">
        <f t="shared" ref="F15" si="0">E15/$E$18*100%</f>
        <v>0.21674876847290642</v>
      </c>
      <c r="G15" s="42"/>
      <c r="H15" s="7" t="s">
        <v>2</v>
      </c>
      <c r="I15" s="19">
        <v>0.3</v>
      </c>
      <c r="J15" s="26">
        <f>K15*1.212121212</f>
        <v>199.99999998000001</v>
      </c>
      <c r="K15" s="27">
        <v>165</v>
      </c>
      <c r="L15" s="28">
        <f>K15*0.787878788</f>
        <v>130.00000001999999</v>
      </c>
    </row>
    <row r="16" spans="2:18" ht="17" thickBot="1" x14ac:dyDescent="0.25">
      <c r="B16" s="29" t="s">
        <v>7</v>
      </c>
      <c r="C16" s="36">
        <f>((C29*C31)/(E18))*D16*2</f>
        <v>36033.187468823104</v>
      </c>
      <c r="D16" s="65">
        <v>0.1875</v>
      </c>
      <c r="E16" s="68">
        <f>D16*2</f>
        <v>0.375</v>
      </c>
      <c r="F16" s="67">
        <f>E16/$E$18*100%</f>
        <v>0.29556650246305416</v>
      </c>
      <c r="G16" s="42"/>
      <c r="H16" s="41"/>
      <c r="I16" s="41"/>
      <c r="K16"/>
      <c r="L16"/>
    </row>
    <row r="17" spans="1:18" ht="17" thickBot="1" x14ac:dyDescent="0.25">
      <c r="B17" s="30" t="s">
        <v>6</v>
      </c>
      <c r="C17" s="36">
        <f>((C29*C31)/(E18))*D17*1.1</f>
        <v>19818.25310785271</v>
      </c>
      <c r="D17" s="65">
        <v>0.1875</v>
      </c>
      <c r="E17" s="68">
        <f>D17*1.1</f>
        <v>0.20625000000000002</v>
      </c>
      <c r="F17" s="67">
        <f>E17/$E$18*100%</f>
        <v>0.1625615763546798</v>
      </c>
      <c r="G17" s="42"/>
      <c r="H17" s="5" t="s">
        <v>16</v>
      </c>
      <c r="I17" s="11" t="s">
        <v>4</v>
      </c>
      <c r="J17" s="12" t="s">
        <v>5</v>
      </c>
      <c r="K17" s="12" t="s">
        <v>7</v>
      </c>
      <c r="L17" s="13" t="s">
        <v>6</v>
      </c>
    </row>
    <row r="18" spans="1:18" ht="17" thickBot="1" x14ac:dyDescent="0.25">
      <c r="D18" s="43"/>
      <c r="E18" s="155">
        <f>SUM(E14:E17)</f>
        <v>1.26875</v>
      </c>
      <c r="F18" s="43"/>
      <c r="G18" s="42"/>
      <c r="H18" s="7" t="s">
        <v>3</v>
      </c>
      <c r="I18" s="8">
        <v>0.9</v>
      </c>
      <c r="J18" s="9">
        <v>0.9</v>
      </c>
      <c r="K18" s="9">
        <v>0.5</v>
      </c>
      <c r="L18" s="10">
        <v>0.9</v>
      </c>
      <c r="Q18" s="35"/>
      <c r="R18" s="33"/>
    </row>
    <row r="19" spans="1:18" ht="17" thickBot="1" x14ac:dyDescent="0.25">
      <c r="D19" s="55">
        <f>SUM(D14:D17)</f>
        <v>1</v>
      </c>
      <c r="E19" s="154"/>
      <c r="F19" s="42"/>
      <c r="G19" s="42"/>
      <c r="H19" s="156"/>
      <c r="I19" s="157"/>
      <c r="J19" s="157"/>
      <c r="K19" s="157"/>
      <c r="L19" s="157"/>
      <c r="M19" s="156"/>
      <c r="Q19" s="35"/>
      <c r="R19" s="33"/>
    </row>
    <row r="20" spans="1:18" x14ac:dyDescent="0.2">
      <c r="B20" s="60" t="s">
        <v>47</v>
      </c>
      <c r="C20" s="61">
        <f>(C5*35%)/C21</f>
        <v>13.848125433927331</v>
      </c>
      <c r="D20" s="42"/>
      <c r="E20" s="42"/>
      <c r="F20" s="42"/>
      <c r="G20" s="42"/>
      <c r="H20" s="156"/>
      <c r="I20" s="157"/>
      <c r="J20" s="157"/>
      <c r="K20" s="157"/>
      <c r="L20" s="157"/>
      <c r="M20" s="156"/>
      <c r="Q20" s="35"/>
      <c r="R20" s="33"/>
    </row>
    <row r="21" spans="1:18" ht="17" thickBot="1" x14ac:dyDescent="0.25">
      <c r="B21" s="30" t="s">
        <v>36</v>
      </c>
      <c r="C21" s="62">
        <f>Utilizzatore!E5/Utilizzatore!E6</f>
        <v>30247</v>
      </c>
      <c r="E21" s="42"/>
      <c r="Q21" s="35"/>
      <c r="R21" s="33"/>
    </row>
    <row r="22" spans="1:18" x14ac:dyDescent="0.2">
      <c r="Q22" s="35"/>
      <c r="R22" s="33"/>
    </row>
    <row r="23" spans="1:18" x14ac:dyDescent="0.2">
      <c r="Q23" s="35"/>
      <c r="R23" s="33"/>
    </row>
    <row r="24" spans="1:18" x14ac:dyDescent="0.2">
      <c r="I24" s="54"/>
      <c r="Q24" s="35"/>
      <c r="R24" s="33"/>
    </row>
    <row r="25" spans="1:18" ht="17" thickBot="1" x14ac:dyDescent="0.25">
      <c r="B25" s="41"/>
      <c r="I25" s="54"/>
      <c r="Q25" s="34"/>
    </row>
    <row r="26" spans="1:18" x14ac:dyDescent="0.2">
      <c r="B26" s="204" t="s">
        <v>18</v>
      </c>
      <c r="C26" s="14" t="s">
        <v>4</v>
      </c>
      <c r="D26" s="15" t="s">
        <v>17</v>
      </c>
      <c r="E26" s="15" t="s">
        <v>7</v>
      </c>
      <c r="F26" s="16" t="s">
        <v>6</v>
      </c>
    </row>
    <row r="27" spans="1:18" ht="17" thickBot="1" x14ac:dyDescent="0.25">
      <c r="B27" s="205"/>
      <c r="C27" s="38"/>
      <c r="D27" s="39"/>
      <c r="E27" s="39"/>
      <c r="F27" s="40"/>
    </row>
    <row r="28" spans="1:18" ht="17" thickBot="1" x14ac:dyDescent="0.25">
      <c r="B28" s="206"/>
      <c r="C28" s="50">
        <f>((C14*I13))*(1-0.5%*C20)*IF(C9&lt;C20,(1+0.5%*C9),(1+0.5%*C20))</f>
        <v>14978.17216460581</v>
      </c>
      <c r="D28" s="51">
        <f>(C15*I13)*(1-0.5%*C20)*IF(C9&lt;C20,(1+0.5%*C9),(1+0.5%*C20))</f>
        <v>9985.4481097372045</v>
      </c>
      <c r="E28" s="51">
        <f>(C16*I13)*(1-0.5%*C20)*IF(C9&lt;C20,(1+0.5%*C9),(1+0.5%*C20))</f>
        <v>13616.520149641645</v>
      </c>
      <c r="F28" s="52">
        <f>(C17*I13)*(1-0.5%*C20)*IF(C9&lt;C20,(1+0.5%*C9),(1+0.5%*C20))</f>
        <v>7489.0860823029052</v>
      </c>
      <c r="Q28" s="200" t="s">
        <v>81</v>
      </c>
      <c r="R28" s="200" t="s">
        <v>82</v>
      </c>
    </row>
    <row r="29" spans="1:18" ht="15.5" customHeight="1" thickBot="1" x14ac:dyDescent="0.25">
      <c r="B29" s="207" t="s">
        <v>22</v>
      </c>
      <c r="C29" s="209">
        <f>C5</f>
        <v>1196755</v>
      </c>
      <c r="D29" s="210"/>
      <c r="E29" s="210"/>
      <c r="F29" s="211"/>
      <c r="Q29" s="201"/>
      <c r="R29" s="201"/>
    </row>
    <row r="30" spans="1:18" ht="16" customHeight="1" thickBot="1" x14ac:dyDescent="0.25">
      <c r="B30" s="208"/>
      <c r="C30" s="212"/>
      <c r="D30" s="213"/>
      <c r="E30" s="213"/>
      <c r="F30" s="214"/>
      <c r="Q30" s="162">
        <v>11</v>
      </c>
      <c r="R30" s="163">
        <v>0.33329999999999999</v>
      </c>
    </row>
    <row r="31" spans="1:18" ht="15.5" customHeight="1" x14ac:dyDescent="0.2">
      <c r="A31" s="41"/>
      <c r="B31" s="207" t="s">
        <v>21</v>
      </c>
      <c r="C31" s="215">
        <f>C6</f>
        <v>0.10186904108987901</v>
      </c>
      <c r="D31" s="216"/>
      <c r="E31" s="216"/>
      <c r="F31" s="217"/>
      <c r="Q31" s="158">
        <v>7</v>
      </c>
      <c r="R31" s="159">
        <v>0.28660000000000002</v>
      </c>
    </row>
    <row r="32" spans="1:18" ht="16" customHeight="1" thickBot="1" x14ac:dyDescent="0.25">
      <c r="B32" s="208"/>
      <c r="C32" s="218"/>
      <c r="D32" s="219"/>
      <c r="E32" s="219"/>
      <c r="F32" s="220"/>
      <c r="Q32" s="158">
        <v>5</v>
      </c>
      <c r="R32" s="159">
        <v>0.26329999999999998</v>
      </c>
    </row>
    <row r="33" spans="2:18" ht="17" thickBot="1" x14ac:dyDescent="0.25">
      <c r="B33" s="221" t="s">
        <v>19</v>
      </c>
      <c r="C33" s="223">
        <f>Utilizzatore!E10</f>
        <v>8200</v>
      </c>
      <c r="D33" s="224"/>
      <c r="E33" s="224"/>
      <c r="F33" s="225"/>
      <c r="Q33" s="160">
        <v>3</v>
      </c>
      <c r="R33" s="161">
        <f>24%</f>
        <v>0.24</v>
      </c>
    </row>
    <row r="34" spans="2:18" x14ac:dyDescent="0.2">
      <c r="B34" s="205"/>
      <c r="C34" s="226"/>
      <c r="D34" s="227"/>
      <c r="E34" s="227"/>
      <c r="F34" s="228"/>
    </row>
    <row r="35" spans="2:18" ht="17" thickBot="1" x14ac:dyDescent="0.25">
      <c r="B35" s="222"/>
      <c r="C35" s="44">
        <f>IF(C33&lt;J14,0,IF(C33&gt;L14,I14*C14,(C33/L14)*I14*C14))</f>
        <v>10260.496093471731</v>
      </c>
      <c r="D35" s="45">
        <f>IF($C$33&lt;$J$14,0,IF($C$33&gt;$L$14,$I$14*$C$15,($C$33/$L$14)*$I$14*$C$15))</f>
        <v>6840.3307289811537</v>
      </c>
      <c r="E35" s="45">
        <f>IF($C$33&lt;$J$14,0,IF($C$33&gt;$L$14,$I$14*$C$16,($C$33/$L$14)*$I$14*$C$16))</f>
        <v>9327.7237213379358</v>
      </c>
      <c r="F35" s="46">
        <f>IF($C$33&lt;$J$14,0,IF($C$33&gt;$L$14,$I$14*$C$17,($C$33/$L$14)*$I$14*C17))</f>
        <v>5130.2480467358655</v>
      </c>
    </row>
    <row r="36" spans="2:18" x14ac:dyDescent="0.2">
      <c r="B36" s="204" t="s">
        <v>20</v>
      </c>
      <c r="C36" s="223">
        <f>Utilizzatore!E11</f>
        <v>155</v>
      </c>
      <c r="D36" s="224"/>
      <c r="E36" s="224"/>
      <c r="F36" s="225"/>
    </row>
    <row r="37" spans="2:18" x14ac:dyDescent="0.2">
      <c r="B37" s="229"/>
      <c r="C37" s="226"/>
      <c r="D37" s="227"/>
      <c r="E37" s="227"/>
      <c r="F37" s="228"/>
    </row>
    <row r="38" spans="2:18" ht="19" customHeight="1" thickBot="1" x14ac:dyDescent="0.25">
      <c r="B38" s="230"/>
      <c r="C38" s="44">
        <f>IF($C$36&gt;$J$15,0,IF($C$36&lt;$L$15,$I$15*$C$14,($L$15/$C$36)*$I$15*$C$14))</f>
        <v>9973.0564041956786</v>
      </c>
      <c r="D38" s="45">
        <f>IF($C$36&gt;$J$15,0,IF($C$36&lt;$L$15,$I$15*$C$15,($L$15/$C$36)*$I$15*$C$15))</f>
        <v>6648.7042694637839</v>
      </c>
      <c r="E38" s="45">
        <f>IF($C$36&gt;$J$15,0,IF($C$36&lt;$L$15,$I$15*$C$16,($L$15/$C$36)*$I$15*$C$16))</f>
        <v>9066.4149129051602</v>
      </c>
      <c r="F38" s="46">
        <f>IF($C$36&gt;$J$15,0,IF($C$36&lt;$L$15,$I$15*$C$17,($L$15/$C$36)*$I$15*$C$17))</f>
        <v>4986.5282020978393</v>
      </c>
    </row>
    <row r="39" spans="2:18" ht="28.5" customHeight="1" x14ac:dyDescent="0.3">
      <c r="B39" s="204" t="s">
        <v>28</v>
      </c>
      <c r="C39" s="231">
        <f>Utilizzatore!E12</f>
        <v>0</v>
      </c>
      <c r="D39" s="232"/>
      <c r="E39" s="232"/>
      <c r="F39" s="233"/>
    </row>
    <row r="40" spans="2:18" ht="17" thickBot="1" x14ac:dyDescent="0.25">
      <c r="B40" s="230"/>
      <c r="C40" s="47">
        <f>IF(C39="X",I18,1)</f>
        <v>1</v>
      </c>
      <c r="D40" s="48">
        <f>IF(C39="X",J18,1)</f>
        <v>1</v>
      </c>
      <c r="E40" s="48">
        <f>IF(C39="X",K18,1)</f>
        <v>1</v>
      </c>
      <c r="F40" s="49">
        <f>IF(C39="X",L18,1)</f>
        <v>1</v>
      </c>
    </row>
    <row r="41" spans="2:18" ht="17" thickBot="1" x14ac:dyDescent="0.25"/>
    <row r="42" spans="2:18" ht="15.5" customHeight="1" x14ac:dyDescent="0.2">
      <c r="B42" s="234" t="s">
        <v>49</v>
      </c>
      <c r="C42" s="242">
        <f>(C28+C35+C38)*C40</f>
        <v>35211.72466227322</v>
      </c>
      <c r="D42" s="242">
        <f>(D28+D35+D38)*D40</f>
        <v>23474.483108182139</v>
      </c>
      <c r="E42" s="242">
        <f>(E28+E35+E38)*E40</f>
        <v>32010.658783884741</v>
      </c>
      <c r="F42" s="250">
        <f>(F28+F35+F38)/(2-F40)</f>
        <v>17605.86233113661</v>
      </c>
      <c r="G42" s="244">
        <f t="shared" ref="G42" si="1">SUM(C42:F43)</f>
        <v>108302.72888547671</v>
      </c>
      <c r="H42" s="143"/>
    </row>
    <row r="43" spans="2:18" ht="15.5" customHeight="1" thickBot="1" x14ac:dyDescent="0.25">
      <c r="B43" s="235"/>
      <c r="C43" s="243"/>
      <c r="D43" s="243"/>
      <c r="E43" s="243"/>
      <c r="F43" s="251"/>
      <c r="G43" s="245"/>
      <c r="H43" s="143"/>
    </row>
    <row r="44" spans="2:18" ht="32" thickBot="1" x14ac:dyDescent="0.25">
      <c r="B44" s="77" t="s">
        <v>48</v>
      </c>
      <c r="C44" s="78">
        <f>C42/(SUM(C42:F43))</f>
        <v>0.32512315270935965</v>
      </c>
      <c r="D44" s="78">
        <f>D42/(SUM(C42:F43))</f>
        <v>0.21674876847290636</v>
      </c>
      <c r="E44" s="78">
        <f>E42/(SUM(C42:F43))</f>
        <v>0.29556650246305416</v>
      </c>
      <c r="F44" s="79">
        <f>F42/(SUM(C42:F43))</f>
        <v>0.16256157635467983</v>
      </c>
      <c r="G44" s="144">
        <f>SUM(C44:F44)</f>
        <v>1</v>
      </c>
    </row>
    <row r="45" spans="2:18" x14ac:dyDescent="0.2">
      <c r="E45" s="246" t="s">
        <v>62</v>
      </c>
      <c r="F45" s="246"/>
      <c r="G45" s="248">
        <f>G42/C5</f>
        <v>9.0496993023197483E-2</v>
      </c>
    </row>
    <row r="46" spans="2:18" x14ac:dyDescent="0.2">
      <c r="E46" s="247"/>
      <c r="F46" s="247"/>
      <c r="G46" s="249"/>
    </row>
    <row r="48" spans="2:18" ht="17" thickBot="1" x14ac:dyDescent="0.25"/>
    <row r="49" spans="2:11" ht="17" thickBot="1" x14ac:dyDescent="0.25">
      <c r="C49" s="131" t="s">
        <v>58</v>
      </c>
      <c r="D49" s="236" t="s">
        <v>59</v>
      </c>
      <c r="E49" s="237"/>
    </row>
    <row r="50" spans="2:11" x14ac:dyDescent="0.2">
      <c r="B50" s="234" t="s">
        <v>49</v>
      </c>
      <c r="C50" s="238">
        <f>(C5*C8)/Utilizzatore!E7</f>
        <v>3281.9008753174758</v>
      </c>
      <c r="D50" s="240" t="e">
        <f>Utilizzatore!#REF!</f>
        <v>#REF!</v>
      </c>
      <c r="E50" s="240"/>
    </row>
    <row r="51" spans="2:11" ht="17" thickBot="1" x14ac:dyDescent="0.25">
      <c r="B51" s="235"/>
      <c r="C51" s="239"/>
      <c r="D51" s="241"/>
      <c r="E51" s="241"/>
    </row>
    <row r="53" spans="2:11" x14ac:dyDescent="0.2">
      <c r="J53" s="140"/>
      <c r="K53" s="142"/>
    </row>
    <row r="54" spans="2:11" x14ac:dyDescent="0.2">
      <c r="J54" s="141"/>
    </row>
  </sheetData>
  <mergeCells count="26">
    <mergeCell ref="G42:G43"/>
    <mergeCell ref="E45:F46"/>
    <mergeCell ref="G45:G46"/>
    <mergeCell ref="E42:E43"/>
    <mergeCell ref="F42:F43"/>
    <mergeCell ref="B39:B40"/>
    <mergeCell ref="C39:F39"/>
    <mergeCell ref="B50:B51"/>
    <mergeCell ref="D49:E49"/>
    <mergeCell ref="C50:C51"/>
    <mergeCell ref="D50:E51"/>
    <mergeCell ref="B42:B43"/>
    <mergeCell ref="C42:C43"/>
    <mergeCell ref="D42:D43"/>
    <mergeCell ref="B31:B32"/>
    <mergeCell ref="C31:F32"/>
    <mergeCell ref="B33:B35"/>
    <mergeCell ref="C33:F34"/>
    <mergeCell ref="B36:B38"/>
    <mergeCell ref="C36:F37"/>
    <mergeCell ref="Q28:Q29"/>
    <mergeCell ref="R28:R29"/>
    <mergeCell ref="B12:C12"/>
    <mergeCell ref="B26:B28"/>
    <mergeCell ref="B29:B30"/>
    <mergeCell ref="C29:F30"/>
  </mergeCells>
  <pageMargins left="0.7" right="0.7" top="0.75" bottom="0.75" header="0.3" footer="0.3"/>
  <pageSetup paperSize="9" orientation="portrait" horizontalDpi="0" verticalDpi="0" r:id="rId1"/>
  <headerFooter>
    <oddFooter>&amp;L&amp;1#&amp;"Calibri"&amp;10&amp;K000000Essity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Utilizzatore</vt:lpstr>
      <vt:lpstr>Prospetto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2020-08-27T17:24:33Z</dcterms:created>
  <dcterms:modified xsi:type="dcterms:W3CDTF">2020-11-27T11:36:38Z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2020-08-29T15:14:17Z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15d79103-862b-4512-a651-af5d857d8d60</vt:lpwstr>
  </property>
  <property fmtid="{D5CDD505-2E9C-101B-9397-08002B2CF9AE}" pid="8" name="MSIP_Label_4c8d6ef0-491d-4f17-aead-12ed260929f1_ContentBits">
    <vt:lpwstr>2</vt:lpwstr>
  </property>
</Properties>
</file>